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60" windowHeight="9120" activeTab="2"/>
  </bookViews>
  <sheets>
    <sheet name="cover" sheetId="1" r:id="rId1"/>
    <sheet name="TOC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0" sheetId="9" r:id="rId9"/>
  </sheets>
  <definedNames>
    <definedName name="coname">'cover'!$T$63</definedName>
    <definedName name="cosymbol">'cover'!$A$63</definedName>
    <definedName name="dacg1">'1'!$F$21</definedName>
    <definedName name="dacg2">'1'!$F$22</definedName>
    <definedName name="dacg3">'1'!$F$23</definedName>
    <definedName name="dacg4">'1'!$F$24</definedName>
    <definedName name="dapgv1">'1'!$P$21</definedName>
    <definedName name="dapgv2">'1'!$P$22</definedName>
    <definedName name="dapgv3">'1'!$P$23</definedName>
    <definedName name="dapgv4">'1'!$P$24</definedName>
    <definedName name="docno">'cover'!$Q$1</definedName>
    <definedName name="ehdacpm">'4'!$T$32</definedName>
    <definedName name="ehwvcpm">'4'!$X$35</definedName>
    <definedName name="ehwvlheat">'4'!$T$35</definedName>
    <definedName name="mwda">'1'!$K$29</definedName>
    <definedName name="mwwv">'1'!$K$40</definedName>
    <definedName name="_xlnm.Print_Area" localSheetId="8">'0'!$A$1:$AH$75</definedName>
    <definedName name="_xlnm.Print_Area" localSheetId="2">'1'!$A$1:$AH$75</definedName>
    <definedName name="_xlnm.Print_Area" localSheetId="3">'2'!$A$1:$AH$75</definedName>
    <definedName name="_xlnm.Print_Area" localSheetId="4">'3'!$A$1:$AH$75</definedName>
    <definedName name="_xlnm.Print_Area" localSheetId="5">'4'!$A$1:$AH$75</definedName>
    <definedName name="_xlnm.Print_Area" localSheetId="6">'5'!$A$1:$AH$75</definedName>
    <definedName name="_xlnm.Print_Area" localSheetId="7">'6'!$A$1:$AH$75</definedName>
    <definedName name="_xlnm.Print_Area" localSheetId="0">'cover'!$A$1:$T$63</definedName>
    <definedName name="_xlnm.Print_Area" localSheetId="1">'TOC'!$A$1:$AB$63</definedName>
    <definedName name="pwsc10">'4'!$N$52</definedName>
    <definedName name="pwsc11">'4'!$N$53</definedName>
    <definedName name="pwsc12">'4'!$N$54</definedName>
    <definedName name="pwsc13">'4'!$N$55</definedName>
    <definedName name="pwsc8">'4'!$N$50</definedName>
    <definedName name="pwsc9">'4'!$N$51</definedName>
    <definedName name="sheetqty">'1'!$AG$4</definedName>
    <definedName name="title">'cover'!$F$12</definedName>
    <definedName name="title2">'cover'!$F$10</definedName>
    <definedName name="toc1">'1'!$D$8</definedName>
    <definedName name="toc2">'1'!$D$14</definedName>
    <definedName name="toc3">'2'!$D$8</definedName>
    <definedName name="toc4">'2'!$D$39</definedName>
    <definedName name="toc5">'3'!$D$8</definedName>
    <definedName name="toc6">'4'!$D$8</definedName>
    <definedName name="toc7">'5'!$D$8</definedName>
    <definedName name="toc8">'6'!$D$8</definedName>
    <definedName name="ugconst">'3'!$V$26</definedName>
    <definedName name="ugconstk">'3'!$AC$26</definedName>
    <definedName name="w_name">'2'!$D$11</definedName>
    <definedName name="w_name2">'2'!$I$11</definedName>
    <definedName name="w_symbol">'2'!$E$13</definedName>
  </definedNames>
  <calcPr fullCalcOnLoad="1"/>
</workbook>
</file>

<file path=xl/comments3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4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5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6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7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8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9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sharedStrings.xml><?xml version="1.0" encoding="utf-8"?>
<sst xmlns="http://schemas.openxmlformats.org/spreadsheetml/2006/main" count="658" uniqueCount="409">
  <si>
    <t>1.</t>
  </si>
  <si>
    <t>2.</t>
  </si>
  <si>
    <t>Doc. No.</t>
  </si>
  <si>
    <t xml:space="preserve"> NTES</t>
  </si>
  <si>
    <t xml:space="preserve">Narai Thermal Engineering Services </t>
  </si>
  <si>
    <t>Date</t>
  </si>
  <si>
    <t>Psychrometrics deals with thermodynamic properties of moist air and</t>
  </si>
  <si>
    <t>uses these properties to analyze conditions and processes involving moist air.</t>
  </si>
  <si>
    <t>Introduction</t>
  </si>
  <si>
    <t>Definition</t>
  </si>
  <si>
    <t>N2</t>
  </si>
  <si>
    <t>O2</t>
  </si>
  <si>
    <t>Ar</t>
  </si>
  <si>
    <t>CO2</t>
  </si>
  <si>
    <t>weight%</t>
  </si>
  <si>
    <t>M.W.</t>
  </si>
  <si>
    <t>volume%</t>
  </si>
  <si>
    <t>Total</t>
  </si>
  <si>
    <t>Component</t>
  </si>
  <si>
    <t>Molecular Weight</t>
  </si>
  <si>
    <t>Density</t>
  </si>
  <si>
    <t>kg/Nm3</t>
  </si>
  <si>
    <t>-&gt;</t>
  </si>
  <si>
    <t>For Engineering</t>
  </si>
  <si>
    <t>℃</t>
  </si>
  <si>
    <t>Press., Atm</t>
  </si>
  <si>
    <t>kPa</t>
  </si>
  <si>
    <t>Temp.,</t>
  </si>
  <si>
    <t>,</t>
  </si>
  <si>
    <t>m3</t>
  </si>
  <si>
    <t xml:space="preserve">Volume of Ideal Gas 1 kmol at Normal Condition, </t>
  </si>
  <si>
    <t>Composition of Major Components</t>
  </si>
  <si>
    <t>Water Vapor</t>
  </si>
  <si>
    <t>Molecular Weight</t>
  </si>
  <si>
    <t>Density</t>
  </si>
  <si>
    <t>kg/m3</t>
  </si>
  <si>
    <t>Moist Air</t>
  </si>
  <si>
    <t>Binary ( Two-component ) Mixture of Dry Air and Water Vapor</t>
  </si>
  <si>
    <t>3.</t>
  </si>
  <si>
    <t>Humidity Parameters</t>
  </si>
  <si>
    <t>=</t>
  </si>
  <si>
    <t>Mw</t>
  </si>
  <si>
    <t>Ma</t>
  </si>
  <si>
    <t>Mass of Water Vapor</t>
  </si>
  <si>
    <t>xw</t>
  </si>
  <si>
    <t>Mw + Ma</t>
  </si>
  <si>
    <t>Total Mass of Moist Air</t>
  </si>
  <si>
    <t>Mw / Ma</t>
  </si>
  <si>
    <t>Mw / Ma  +  Ma / Ma</t>
  </si>
  <si>
    <t>yw</t>
  </si>
  <si>
    <t>Mw / Ma</t>
  </si>
  <si>
    <t>+</t>
  </si>
  <si>
    <t>/</t>
  </si>
  <si>
    <t>Weight ( Mass ) Fraction of Water Vapor</t>
  </si>
  <si>
    <t>4.</t>
  </si>
  <si>
    <t>Humidity Parameters involving Saturation</t>
  </si>
  <si>
    <t>=</t>
  </si>
  <si>
    <t>Degree of Saturation</t>
  </si>
  <si>
    <t>μ</t>
  </si>
  <si>
    <t>Relative Humidity</t>
  </si>
  <si>
    <t>RH</t>
  </si>
  <si>
    <t>Volume Fraction of Water Vapor</t>
  </si>
  <si>
    <t>Dew Point Temperature</t>
  </si>
  <si>
    <t>td</t>
  </si>
  <si>
    <t>Volume Fraction of Water Vapor of Moist Air saturated at the same Temp. and Press.</t>
  </si>
  <si>
    <t>Thermodynamic Wet Bulb Temperature</t>
  </si>
  <si>
    <t>t*</t>
  </si>
  <si>
    <t>5.</t>
  </si>
  <si>
    <t>Perfect Gas Relations</t>
  </si>
  <si>
    <t>Ideal Gas Law</t>
  </si>
  <si>
    <t>Sum of the partial pressure of each gas in a mixture of gases equals the total pressure of the mixture.</t>
  </si>
  <si>
    <t>Temp. at which liquid or solid water, by evaporating into moist air at a given dry bulb temperature t and</t>
  </si>
  <si>
    <t>Each gas behaves as if the other gases were not present.</t>
  </si>
  <si>
    <t>P</t>
  </si>
  <si>
    <t>=</t>
  </si>
  <si>
    <t>Pw</t>
  </si>
  <si>
    <t>+</t>
  </si>
  <si>
    <t>Pa</t>
  </si>
  <si>
    <t>Total Pressure of Moist Air</t>
  </si>
  <si>
    <t>Partial Pressure of Water Vapor</t>
  </si>
  <si>
    <t>Partial Pressure of Dry Air</t>
  </si>
  <si>
    <t>P</t>
  </si>
  <si>
    <t>Pw</t>
  </si>
  <si>
    <t>Pa</t>
  </si>
  <si>
    <t>Moist air is considered a mixture of perfect gases and obeys the ideal gas law.</t>
  </si>
  <si>
    <t>Where,</t>
  </si>
  <si>
    <t>V</t>
  </si>
  <si>
    <t>n</t>
  </si>
  <si>
    <t>R</t>
  </si>
  <si>
    <t>T</t>
  </si>
  <si>
    <t>Total Volume of Mixture</t>
  </si>
  <si>
    <t>Absolute Temperature</t>
  </si>
  <si>
    <t>K</t>
  </si>
  <si>
    <t>Universal Gas Constant</t>
  </si>
  <si>
    <t>kg/cm2.a</t>
  </si>
  <si>
    <t>J / kmole.K</t>
  </si>
  <si>
    <t>No. of kg-moles</t>
  </si>
  <si>
    <t>-&gt;</t>
  </si>
  <si>
    <r>
      <t>P V</t>
    </r>
    <r>
      <rPr>
        <sz val="8"/>
        <rFont val="Arial"/>
        <family val="2"/>
      </rPr>
      <t xml:space="preserve">  =  </t>
    </r>
    <r>
      <rPr>
        <b/>
        <sz val="8"/>
        <rFont val="Arial"/>
        <family val="2"/>
      </rPr>
      <t>n R T</t>
    </r>
  </si>
  <si>
    <t>=</t>
  </si>
  <si>
    <t>R T</t>
  </si>
  <si>
    <t>nw</t>
  </si>
  <si>
    <t>na</t>
  </si>
  <si>
    <t>( Pw + Pa ) V  =  ( nw + na ) R T</t>
  </si>
  <si>
    <t>yw</t>
  </si>
  <si>
    <t>nw</t>
  </si>
  <si>
    <t>nw  +  na</t>
  </si>
  <si>
    <t>Pw</t>
  </si>
  <si>
    <t>Pw  +  Pa</t>
  </si>
  <si>
    <t>Mole Fraction of Dry Air</t>
  </si>
  <si>
    <t>ya</t>
  </si>
  <si>
    <t>P</t>
  </si>
  <si>
    <t>yws</t>
  </si>
  <si>
    <t>xw</t>
  </si>
  <si>
    <t>1  -  xw</t>
  </si>
  <si>
    <t>1  -  yw</t>
  </si>
  <si>
    <t>Mole ( Volume ) Fraction of Water Vapor</t>
  </si>
  <si>
    <t>7.</t>
  </si>
  <si>
    <t>Calculation Examples</t>
  </si>
  <si>
    <t>+</t>
  </si>
  <si>
    <t>8.</t>
  </si>
  <si>
    <t>Property Table</t>
  </si>
  <si>
    <t>C9</t>
  </si>
  <si>
    <t>C10</t>
  </si>
  <si>
    <t>C11</t>
  </si>
  <si>
    <t>C12</t>
  </si>
  <si>
    <t>C13</t>
  </si>
  <si>
    <t>Mw / MWw</t>
  </si>
  <si>
    <t>Mw / MWw  +  Ma /  MWa</t>
  </si>
  <si>
    <t>Mw / MWw x MWw / Ma</t>
  </si>
  <si>
    <t>Mw / MWw x MWw / Ma  +  Ma / MWa x MWw / Ma</t>
  </si>
  <si>
    <t>Mw / Ma  +  MWw /  MWa</t>
  </si>
  <si>
    <t>Conversion, xw &lt;-&gt; yw</t>
  </si>
  <si>
    <t>xw</t>
  </si>
  <si>
    <t>MWw / MWa x yw</t>
  </si>
  <si>
    <t>1 - ( 1 - MWw / MWa ) yw</t>
  </si>
  <si>
    <t>MWw / MWa + ( MWa - MWw ) / MWa x xw</t>
  </si>
  <si>
    <t xml:space="preserve">    xw</t>
  </si>
  <si>
    <t>-</t>
  </si>
  <si>
    <t>yw</t>
  </si>
  <si>
    <t>P</t>
  </si>
  <si>
    <t>=</t>
  </si>
  <si>
    <t>+</t>
  </si>
  <si>
    <t>Pa</t>
  </si>
  <si>
    <t>Where,</t>
  </si>
  <si>
    <t>V</t>
  </si>
  <si>
    <t>R T</t>
  </si>
  <si>
    <t>na</t>
  </si>
  <si>
    <t>6.</t>
  </si>
  <si>
    <t>Thermodynamic Properties</t>
  </si>
  <si>
    <t>ν</t>
  </si>
  <si>
    <t>Total Volume of Moist Air</t>
  </si>
  <si>
    <t>Ma</t>
  </si>
  <si>
    <t>yaP</t>
  </si>
  <si>
    <t>(1-yw) P</t>
  </si>
  <si>
    <t>( 1</t>
  </si>
  <si>
    <t>)</t>
  </si>
  <si>
    <t>h</t>
  </si>
  <si>
    <t>ha</t>
  </si>
  <si>
    <t>t</t>
  </si>
  <si>
    <t>x (</t>
  </si>
  <si>
    <t xml:space="preserve">x  </t>
  </si>
  <si>
    <t>where,</t>
  </si>
  <si>
    <t>Enthalpy of Dry Air</t>
  </si>
  <si>
    <t>* 1 kcal</t>
  </si>
  <si>
    <t>kJ</t>
  </si>
  <si>
    <t>kJ / kg</t>
  </si>
  <si>
    <t>kcal / kg</t>
  </si>
  <si>
    <t>Enthalpy of Water Vapor</t>
  </si>
  <si>
    <t>Latent Heat of Vaporization</t>
  </si>
  <si>
    <t>Hyland &amp; Wexler Formula</t>
  </si>
  <si>
    <t>ln ( Pws )</t>
  </si>
  <si>
    <t>C8 / T + C9 + C10 T + C11 T^2 + C12 T^3 + C13 ln ( T )</t>
  </si>
  <si>
    <t>C8</t>
  </si>
  <si>
    <t>Thermodynamic Properties of Moist Air</t>
  </si>
  <si>
    <t>(</t>
  </si>
  <si>
    <t>)</t>
  </si>
  <si>
    <t>P</t>
  </si>
  <si>
    <t>Vol.Fract'n</t>
  </si>
  <si>
    <t>Wt. Fract'n</t>
  </si>
  <si>
    <t>Humidity</t>
  </si>
  <si>
    <t>va</t>
  </si>
  <si>
    <t>vs</t>
  </si>
  <si>
    <t>Specific Volume</t>
  </si>
  <si>
    <r>
      <t>kcal/kmole.</t>
    </r>
    <r>
      <rPr>
        <sz val="8"/>
        <rFont val="돋움"/>
        <family val="3"/>
      </rPr>
      <t>℃</t>
    </r>
  </si>
  <si>
    <t>Eq. 3.1</t>
  </si>
  <si>
    <t>Eq. 3.2</t>
  </si>
  <si>
    <t>Eq. 3.3</t>
  </si>
  <si>
    <t>Eq. 3.4</t>
  </si>
  <si>
    <t>Eq. 3.5</t>
  </si>
  <si>
    <t>Eq. 5.1</t>
  </si>
  <si>
    <t>Eq. 6.1</t>
  </si>
  <si>
    <t>Temp.</t>
  </si>
  <si>
    <t>Saturation Press.</t>
  </si>
  <si>
    <t>t</t>
  </si>
  <si>
    <t>Stm Table</t>
  </si>
  <si>
    <t>Eq. 5.1</t>
  </si>
  <si>
    <t>Eq. 3.1</t>
  </si>
  <si>
    <t>* from DB</t>
  </si>
  <si>
    <t>Eq. 6.1</t>
  </si>
  <si>
    <t>H2O</t>
  </si>
  <si>
    <t>Total</t>
  </si>
  <si>
    <t>Moist Air Composition</t>
  </si>
  <si>
    <t>volume%</t>
  </si>
  <si>
    <t>Enthalpy</t>
  </si>
  <si>
    <t>ha</t>
  </si>
  <si>
    <t>hs</t>
  </si>
  <si>
    <t>`</t>
  </si>
  <si>
    <t>* Excl. Latent Heat</t>
  </si>
  <si>
    <t>Eq. 6.2</t>
  </si>
  <si>
    <t>Eq. 6.3</t>
  </si>
  <si>
    <t>Eq. 6.4</t>
  </si>
  <si>
    <t>Eq. 6.4</t>
  </si>
  <si>
    <t>Eq. 6.2</t>
  </si>
  <si>
    <t>Eq. 6.3</t>
  </si>
  <si>
    <t>* from DB</t>
  </si>
  <si>
    <t>Dev.</t>
  </si>
  <si>
    <t>%</t>
  </si>
  <si>
    <t>kPa.a</t>
  </si>
  <si>
    <t>kg/cm2.a</t>
  </si>
  <si>
    <t>hs, excl. Latent Heat</t>
  </si>
  <si>
    <t>Water Vapor Pressure in Saturated Moist Air</t>
  </si>
  <si>
    <t>va</t>
  </si>
  <si>
    <t>vs</t>
  </si>
  <si>
    <t>ha</t>
  </si>
  <si>
    <t>hs</t>
  </si>
  <si>
    <t>Specific Volume of Dry Air</t>
  </si>
  <si>
    <t>Specific Volume of Saturated Moist Air</t>
  </si>
  <si>
    <t>m3 / kg</t>
  </si>
  <si>
    <t>Specific Enthalpy of Dry Air</t>
  </si>
  <si>
    <t>Specific Enthalpy of Saturated Moist Air</t>
  </si>
  <si>
    <t>kcal / kg</t>
  </si>
  <si>
    <t>Given</t>
  </si>
  <si>
    <t>:</t>
  </si>
  <si>
    <t>Dry Bulb Temp.</t>
  </si>
  <si>
    <t>Relative Humidity</t>
  </si>
  <si>
    <t>Pressure</t>
  </si>
  <si>
    <t>℃</t>
  </si>
  <si>
    <t>kg/cm2.g</t>
  </si>
  <si>
    <t>%</t>
  </si>
  <si>
    <t>Pws</t>
  </si>
  <si>
    <t>Pws</t>
  </si>
  <si>
    <t>Water Vapor Pressure</t>
  </si>
  <si>
    <t>Pws</t>
  </si>
  <si>
    <t>Pw</t>
  </si>
  <si>
    <t>Pw   /  P</t>
  </si>
  <si>
    <t>Pws /  P</t>
  </si>
  <si>
    <t>Eq. 5.2</t>
  </si>
  <si>
    <t>5.2</t>
  </si>
  <si>
    <t>Volume Fraction of Water Vapor</t>
  </si>
  <si>
    <t>5.1</t>
  </si>
  <si>
    <t>Weight Fraction of Water Vapor</t>
  </si>
  <si>
    <t>3.4</t>
  </si>
  <si>
    <t>3.1</t>
  </si>
  <si>
    <t>kg wv / kg da</t>
  </si>
  <si>
    <t>wv</t>
  </si>
  <si>
    <t>da</t>
  </si>
  <si>
    <t>Water Vapor</t>
  </si>
  <si>
    <t>Dry Air</t>
  </si>
  <si>
    <t>:</t>
  </si>
  <si>
    <t>Pws( td )</t>
  </si>
  <si>
    <t>Pw</t>
  </si>
  <si>
    <t>Eq. 5.3</t>
  </si>
  <si>
    <t>5.3</t>
  </si>
  <si>
    <t>Dew Point Temperature</t>
  </si>
  <si>
    <t>Thermodynamic Wet Bulb Temp.</t>
  </si>
  <si>
    <t>t*</t>
  </si>
  <si>
    <t>hs( t* )</t>
  </si>
  <si>
    <t>x hwv</t>
  </si>
  <si>
    <t>hwv</t>
  </si>
  <si>
    <t>Where,</t>
  </si>
  <si>
    <t>hw( t* )</t>
  </si>
  <si>
    <t>=</t>
  </si>
  <si>
    <t>x</t>
  </si>
  <si>
    <t>t*</t>
  </si>
  <si>
    <t>kcal/kg</t>
  </si>
  <si>
    <t>Eq. 5.4</t>
  </si>
  <si>
    <t>5.4</t>
  </si>
  <si>
    <r>
      <t xml:space="preserve">Total Mass of </t>
    </r>
    <r>
      <rPr>
        <b/>
        <sz val="8"/>
        <color indexed="10"/>
        <rFont val="Arial"/>
        <family val="2"/>
      </rPr>
      <t>Dry Air</t>
    </r>
  </si>
  <si>
    <r>
      <t xml:space="preserve">Mass of </t>
    </r>
    <r>
      <rPr>
        <b/>
        <sz val="8"/>
        <color indexed="10"/>
        <rFont val="Arial"/>
        <family val="2"/>
      </rPr>
      <t>Dry Air</t>
    </r>
  </si>
  <si>
    <t>Case 2</t>
  </si>
  <si>
    <t>Wet Bulb Temp.</t>
  </si>
  <si>
    <t>t*</t>
  </si>
  <si>
    <r>
      <t xml:space="preserve">Saturation Pressure of Water Vapor at </t>
    </r>
    <r>
      <rPr>
        <b/>
        <sz val="8"/>
        <rFont val="Arial"/>
        <family val="2"/>
      </rPr>
      <t>t</t>
    </r>
  </si>
  <si>
    <t>Equation used.</t>
  </si>
  <si>
    <t>Equation used.</t>
  </si>
  <si>
    <t>Case 1</t>
  </si>
  <si>
    <t>Eq. 6.5</t>
  </si>
  <si>
    <t>6.5</t>
  </si>
  <si>
    <t>Relative Humidity</t>
  </si>
  <si>
    <t>RH</t>
  </si>
  <si>
    <r>
      <t xml:space="preserve">kJ / kg </t>
    </r>
    <r>
      <rPr>
        <b/>
        <sz val="8"/>
        <color indexed="10"/>
        <rFont val="Arial"/>
        <family val="2"/>
      </rPr>
      <t>dry air</t>
    </r>
  </si>
  <si>
    <r>
      <t xml:space="preserve">kcal / kg </t>
    </r>
    <r>
      <rPr>
        <b/>
        <sz val="8"/>
        <color indexed="10"/>
        <rFont val="Arial"/>
        <family val="2"/>
      </rPr>
      <t>dry air</t>
    </r>
  </si>
  <si>
    <t>m3 / kg dry air</t>
  </si>
  <si>
    <t>kJ/kg da</t>
  </si>
  <si>
    <t>kcal/kg dry air</t>
  </si>
  <si>
    <t>kcal / kg dry air</t>
  </si>
  <si>
    <t>Calculation</t>
  </si>
  <si>
    <t>Given</t>
  </si>
  <si>
    <t>:</t>
  </si>
  <si>
    <t>* Enthalpy of Added Water</t>
  </si>
  <si>
    <r>
      <t xml:space="preserve">= hdb + </t>
    </r>
    <r>
      <rPr>
        <sz val="8"/>
        <rFont val="돋움"/>
        <family val="3"/>
      </rPr>
      <t>Δ</t>
    </r>
    <r>
      <rPr>
        <sz val="8"/>
        <rFont val="Arial"/>
        <family val="2"/>
      </rPr>
      <t>h</t>
    </r>
  </si>
  <si>
    <t>hdb</t>
  </si>
  <si>
    <t>hw</t>
  </si>
  <si>
    <r>
      <t>Δ</t>
    </r>
    <r>
      <rPr>
        <b/>
        <sz val="8"/>
        <rFont val="Arial"/>
        <family val="2"/>
      </rPr>
      <t>h</t>
    </r>
  </si>
  <si>
    <t>* Deviation</t>
  </si>
  <si>
    <t>by VBA Fuction for Properties</t>
  </si>
  <si>
    <t>m3/kg ma</t>
  </si>
  <si>
    <t>kcal/kg ma</t>
  </si>
  <si>
    <t>Dev.%</t>
  </si>
  <si>
    <t>by VBA Function for Properties</t>
  </si>
  <si>
    <t>~</t>
  </si>
  <si>
    <t>℃</t>
  </si>
  <si>
    <t>* Range  :</t>
  </si>
  <si>
    <t>Eq. 6.5</t>
  </si>
  <si>
    <t>yws=Pws/P</t>
  </si>
  <si>
    <t>Avogadro's Law</t>
  </si>
  <si>
    <t>2016.  3.  1.</t>
  </si>
  <si>
    <t>0.</t>
  </si>
  <si>
    <t>Aaaaaa</t>
  </si>
  <si>
    <t>(</t>
  </si>
  <si>
    <t>)</t>
  </si>
  <si>
    <t>W</t>
  </si>
  <si>
    <t>나 래 열 기 술</t>
  </si>
  <si>
    <t>sheets with a cover</t>
  </si>
  <si>
    <t>S. J. Lee</t>
  </si>
  <si>
    <t>LSJ</t>
  </si>
  <si>
    <t>Lee</t>
  </si>
  <si>
    <t>Rev.</t>
  </si>
  <si>
    <t>Description</t>
  </si>
  <si>
    <t>Prepared</t>
  </si>
  <si>
    <t>Reviewed</t>
  </si>
  <si>
    <t>Approved</t>
  </si>
  <si>
    <t>Narai  Thermal  Engineering  Services ( NTES )</t>
  </si>
  <si>
    <t>Homepage</t>
  </si>
  <si>
    <t>www.ntes.co.kr</t>
  </si>
  <si>
    <t>E-mail</t>
  </si>
  <si>
    <t>ntes@ntes.co.kr</t>
  </si>
  <si>
    <t xml:space="preserve">Narai Thermal engineering Services </t>
  </si>
  <si>
    <t xml:space="preserve"> Doc. No.</t>
  </si>
  <si>
    <t xml:space="preserve"> Date</t>
  </si>
  <si>
    <t xml:space="preserve"> Rev.</t>
  </si>
  <si>
    <t xml:space="preserve"> Sheet No.</t>
  </si>
  <si>
    <t>of</t>
  </si>
  <si>
    <t>T a b l e     of     C o n t e n t s</t>
  </si>
  <si>
    <t>1.</t>
  </si>
  <si>
    <t>2.</t>
  </si>
  <si>
    <t>3.</t>
  </si>
  <si>
    <t>4.</t>
  </si>
  <si>
    <t>5.</t>
  </si>
  <si>
    <t>6.</t>
  </si>
  <si>
    <t>7.</t>
  </si>
  <si>
    <t>Technical Material</t>
  </si>
  <si>
    <t>P S Y C H R O M E T R I C S   :     B A S I C</t>
  </si>
  <si>
    <t>TM - PSY - 100</t>
  </si>
  <si>
    <t>2006.  11.  1.</t>
  </si>
  <si>
    <t xml:space="preserve">   Originally Prepared.</t>
  </si>
  <si>
    <t xml:space="preserve">   Updated.</t>
  </si>
  <si>
    <t>2016.    3.    1.</t>
  </si>
  <si>
    <t xml:space="preserve">  Doc. No.</t>
  </si>
  <si>
    <t xml:space="preserve">  Date</t>
  </si>
  <si>
    <t>2016.    3.    1.</t>
  </si>
  <si>
    <t xml:space="preserve">  Revision</t>
  </si>
  <si>
    <t xml:space="preserve">  Sheet No.</t>
  </si>
  <si>
    <t>of</t>
  </si>
  <si>
    <t xml:space="preserve">  Doc. No.</t>
  </si>
  <si>
    <t xml:space="preserve">  Date</t>
  </si>
  <si>
    <t>2016.    3.    1.</t>
  </si>
  <si>
    <t xml:space="preserve">  Revision</t>
  </si>
  <si>
    <t xml:space="preserve">  Sheet No.</t>
  </si>
  <si>
    <t>of</t>
  </si>
  <si>
    <t xml:space="preserve">  Doc. No.</t>
  </si>
  <si>
    <t xml:space="preserve">  Date</t>
  </si>
  <si>
    <t xml:space="preserve">  Revision</t>
  </si>
  <si>
    <t xml:space="preserve">  Sheet No.</t>
  </si>
  <si>
    <t>of</t>
  </si>
  <si>
    <t>2006.    11.    1.</t>
  </si>
  <si>
    <t>Humidity Ratio</t>
  </si>
  <si>
    <t>Absolute Humidity</t>
  </si>
  <si>
    <t>is maintained constant.</t>
  </si>
  <si>
    <t>Enthalpy of the Added Water at the Temperature,  t*</t>
  </si>
  <si>
    <t>Dry Air</t>
  </si>
  <si>
    <t>Specific Humidity</t>
  </si>
  <si>
    <t>Volume ( Mole ) Fraction of Water Vapor</t>
  </si>
  <si>
    <t>Saturation Humidity Ratio</t>
  </si>
  <si>
    <t>Dalton's Law</t>
  </si>
  <si>
    <t>Dew Point Temperature,  td</t>
  </si>
  <si>
    <t>Thermodynamic Wet Bulb Temperature,  t*</t>
  </si>
  <si>
    <t>Specific Volume of Moist Air</t>
  </si>
  <si>
    <t>Enthalpy fo Moist Air</t>
  </si>
  <si>
    <t>Saturation Pressure</t>
  </si>
  <si>
    <t>ln</t>
  </si>
  <si>
    <t>Pws</t>
  </si>
  <si>
    <t>T</t>
  </si>
  <si>
    <t>Natural Logarithm</t>
  </si>
  <si>
    <t>Saturation Pressure</t>
  </si>
  <si>
    <t>Absolute Temperature</t>
  </si>
  <si>
    <t>Pa</t>
  </si>
  <si>
    <t>K</t>
  </si>
  <si>
    <t>kcal / kg da</t>
  </si>
  <si>
    <t>kJ / kg da</t>
  </si>
  <si>
    <t>Enthalpy</t>
  </si>
  <si>
    <t>Specific Volume</t>
  </si>
  <si>
    <t>h</t>
  </si>
  <si>
    <t>v</t>
  </si>
  <si>
    <t>m3 / kg da</t>
  </si>
  <si>
    <t>6.2</t>
  </si>
  <si>
    <t>6.1</t>
  </si>
  <si>
    <t>Ratio</t>
  </si>
</sst>
</file>

<file path=xl/styles.xml><?xml version="1.0" encoding="utf-8"?>
<styleSheet xmlns="http://schemas.openxmlformats.org/spreadsheetml/2006/main">
  <numFmts count="5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00"/>
    <numFmt numFmtId="179" formatCode="0.0000"/>
    <numFmt numFmtId="180" formatCode="0.000_ "/>
    <numFmt numFmtId="181" formatCode="0.00_ "/>
    <numFmt numFmtId="182" formatCode="0.0000000_ "/>
    <numFmt numFmtId="183" formatCode="0.000000_ "/>
    <numFmt numFmtId="184" formatCode="0.00000_ "/>
    <numFmt numFmtId="185" formatCode="0.0000_ "/>
    <numFmt numFmtId="186" formatCode="0.000E+00"/>
    <numFmt numFmtId="187" formatCode="0.0000E+00"/>
    <numFmt numFmtId="188" formatCode="0.00000E+00"/>
    <numFmt numFmtId="189" formatCode="0.000000E+00"/>
    <numFmt numFmtId="190" formatCode="0.0000000E+00"/>
    <numFmt numFmtId="191" formatCode="0.00000000_ "/>
    <numFmt numFmtId="192" formatCode="0.0_ "/>
    <numFmt numFmtId="193" formatCode="[$-412]yyyy&quot;년&quot;\ m&quot;월&quot;\ d&quot;일&quot;\ dddd"/>
    <numFmt numFmtId="194" formatCode="[$-412]AM/PM\ h:mm:ss"/>
    <numFmt numFmtId="195" formatCode="&quot; &quot;#,##0_);\(&quot; &quot;#,##0\)"/>
    <numFmt numFmtId="196" formatCode="&quot; &quot;#,##0_);[Red]\(&quot; &quot;#,##0\)"/>
    <numFmt numFmtId="197" formatCode="&quot; &quot;#,##0.00_);\(&quot; &quot;#,##0.00\)"/>
    <numFmt numFmtId="198" formatCode="&quot; &quot;#,##0.00_);[Red]\(&quot; &quot;#,##0.00\)"/>
    <numFmt numFmtId="199" formatCode="_(&quot; &quot;* #,##0_);_(&quot; &quot;* \(#,##0\);_(&quot; &quot;* &quot;-&quot;_);_(@_)"/>
    <numFmt numFmtId="200" formatCode="_(* #,##0_);_(* \(#,##0\);_(* &quot;-&quot;_);_(@_)"/>
    <numFmt numFmtId="201" formatCode="_(&quot; &quot;* #,##0.00_);_(&quot; &quot;* \(#,##0.00\);_(&quot; &quot;* &quot;-&quot;??_);_(@_)"/>
    <numFmt numFmtId="202" formatCode="_(* #,##0.00_);_(* \(#,##0.0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&quot;\&quot;* #,##0_ ;_ &quot;\&quot;* \-#,##0_ ;_ &quot;\&quot;* &quot;-&quot;_ ;_ @_ "/>
    <numFmt numFmtId="208" formatCode="_ * #,##0_ ;_ * \-#,##0_ ;_ * &quot;-&quot;_ ;_ @_ "/>
    <numFmt numFmtId="209" formatCode="_ &quot;\&quot;* #,##0.00_ ;_ &quot;\&quot;* \-#,##0.00_ ;_ &quot;\&quot;* &quot;-&quot;??_ ;_ @_ "/>
    <numFmt numFmtId="210" formatCode="_ * #,##0.00_ ;_ * \-#,##0.00_ ;_ * &quot;-&quot;??_ ;_ @_ "/>
    <numFmt numFmtId="211" formatCode="&quot;\&quot;#,##0;&quot;\&quot;&quot;\&quot;&quot;\&quot;&quot;\&quot;&quot;\&quot;&quot;\&quot;&quot;\&quot;&quot;\&quot;\-#,##0"/>
    <numFmt numFmtId="212" formatCode="&quot;\&quot;#,##0.00;&quot;\&quot;&quot;\&quot;&quot;\&quot;&quot;\&quot;&quot;\&quot;&quot;\&quot;&quot;\&quot;&quot;\&quot;\-#,##0.00"/>
    <numFmt numFmtId="213" formatCode="mm&quot;월&quot;\ dd&quot;일&quot;"/>
    <numFmt numFmtId="214" formatCode="0_ "/>
    <numFmt numFmtId="215" formatCode="0.0000000"/>
    <numFmt numFmtId="216" formatCode="0.000000"/>
    <numFmt numFmtId="217" formatCode="0.00000"/>
    <numFmt numFmtId="218" formatCode="0.00000000"/>
  </numFmts>
  <fonts count="24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돋움"/>
      <family val="3"/>
    </font>
    <font>
      <sz val="7.5"/>
      <name val="Arial"/>
      <family val="2"/>
    </font>
    <font>
      <b/>
      <sz val="10"/>
      <name val="Arial"/>
      <family val="2"/>
    </font>
    <font>
      <b/>
      <sz val="8"/>
      <name val="돋움"/>
      <family val="3"/>
    </font>
    <font>
      <sz val="7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돋움"/>
      <family val="3"/>
    </font>
    <font>
      <b/>
      <u val="single"/>
      <sz val="8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12"/>
      <name val="Arial"/>
      <family val="2"/>
    </font>
    <font>
      <b/>
      <sz val="6"/>
      <color indexed="10"/>
      <name val="Arial"/>
      <family val="2"/>
    </font>
    <font>
      <sz val="12"/>
      <name val="뼻뮝"/>
      <family val="1"/>
    </font>
    <font>
      <b/>
      <sz val="14"/>
      <name val="궁서체"/>
      <family val="1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85" fontId="2" fillId="0" borderId="5" xfId="0" applyNumberFormat="1" applyFont="1" applyBorder="1" applyAlignment="1">
      <alignment/>
    </xf>
    <xf numFmtId="185" fontId="2" fillId="0" borderId="6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0" fillId="0" borderId="0" xfId="24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12" fillId="0" borderId="0" xfId="0" applyFont="1" applyBorder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185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80" fontId="2" fillId="0" borderId="24" xfId="0" applyNumberFormat="1" applyFont="1" applyBorder="1" applyAlignment="1">
      <alignment horizontal="right"/>
    </xf>
    <xf numFmtId="180" fontId="3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80" fontId="2" fillId="0" borderId="26" xfId="0" applyNumberFormat="1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180" fontId="3" fillId="0" borderId="36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2" fillId="0" borderId="29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8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19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center"/>
    </xf>
    <xf numFmtId="183" fontId="2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184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center"/>
    </xf>
    <xf numFmtId="185" fontId="2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185" fontId="2" fillId="0" borderId="1" xfId="0" applyNumberFormat="1" applyFont="1" applyBorder="1" applyAlignment="1">
      <alignment horizontal="right"/>
    </xf>
    <xf numFmtId="192" fontId="3" fillId="0" borderId="0" xfId="0" applyNumberFormat="1" applyFont="1" applyBorder="1" applyAlignment="1">
      <alignment horizontal="right"/>
    </xf>
    <xf numFmtId="180" fontId="2" fillId="0" borderId="5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85" fontId="2" fillId="0" borderId="10" xfId="0" applyNumberFormat="1" applyFont="1" applyBorder="1" applyAlignment="1">
      <alignment horizontal="right"/>
    </xf>
    <xf numFmtId="185" fontId="2" fillId="0" borderId="5" xfId="0" applyNumberFormat="1" applyFont="1" applyBorder="1" applyAlignment="1">
      <alignment horizontal="right"/>
    </xf>
    <xf numFmtId="180" fontId="2" fillId="0" borderId="6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92" fontId="2" fillId="0" borderId="15" xfId="0" applyNumberFormat="1" applyFont="1" applyBorder="1" applyAlignment="1">
      <alignment horizontal="right"/>
    </xf>
    <xf numFmtId="192" fontId="2" fillId="0" borderId="16" xfId="0" applyNumberFormat="1" applyFont="1" applyBorder="1" applyAlignment="1">
      <alignment horizontal="right"/>
    </xf>
    <xf numFmtId="192" fontId="2" fillId="0" borderId="5" xfId="0" applyNumberFormat="1" applyFont="1" applyBorder="1" applyAlignment="1">
      <alignment horizontal="right"/>
    </xf>
    <xf numFmtId="185" fontId="2" fillId="0" borderId="15" xfId="0" applyNumberFormat="1" applyFont="1" applyBorder="1" applyAlignment="1">
      <alignment horizontal="right"/>
    </xf>
    <xf numFmtId="180" fontId="2" fillId="0" borderId="8" xfId="0" applyNumberFormat="1" applyFont="1" applyBorder="1" applyAlignment="1">
      <alignment horizontal="right"/>
    </xf>
    <xf numFmtId="180" fontId="2" fillId="0" borderId="19" xfId="0" applyNumberFormat="1" applyFont="1" applyBorder="1" applyAlignment="1">
      <alignment horizontal="right"/>
    </xf>
    <xf numFmtId="192" fontId="2" fillId="0" borderId="23" xfId="0" applyNumberFormat="1" applyFont="1" applyBorder="1" applyAlignment="1">
      <alignment horizontal="right"/>
    </xf>
    <xf numFmtId="192" fontId="2" fillId="0" borderId="49" xfId="0" applyNumberFormat="1" applyFont="1" applyBorder="1" applyAlignment="1">
      <alignment horizontal="right"/>
    </xf>
    <xf numFmtId="192" fontId="10" fillId="0" borderId="23" xfId="0" applyNumberFormat="1" applyFont="1" applyBorder="1" applyAlignment="1">
      <alignment horizontal="right"/>
    </xf>
    <xf numFmtId="192" fontId="10" fillId="0" borderId="6" xfId="0" applyNumberFormat="1" applyFont="1" applyBorder="1" applyAlignment="1">
      <alignment horizontal="right"/>
    </xf>
    <xf numFmtId="192" fontId="10" fillId="0" borderId="15" xfId="0" applyNumberFormat="1" applyFont="1" applyBorder="1" applyAlignment="1">
      <alignment horizontal="right"/>
    </xf>
    <xf numFmtId="192" fontId="10" fillId="0" borderId="5" xfId="0" applyNumberFormat="1" applyFont="1" applyBorder="1" applyAlignment="1">
      <alignment horizontal="right"/>
    </xf>
    <xf numFmtId="185" fontId="2" fillId="0" borderId="23" xfId="0" applyNumberFormat="1" applyFont="1" applyBorder="1" applyAlignment="1">
      <alignment horizontal="right"/>
    </xf>
    <xf numFmtId="185" fontId="2" fillId="0" borderId="6" xfId="0" applyNumberFormat="1" applyFont="1" applyBorder="1" applyAlignment="1">
      <alignment horizontal="right"/>
    </xf>
    <xf numFmtId="192" fontId="2" fillId="0" borderId="29" xfId="0" applyNumberFormat="1" applyFont="1" applyBorder="1" applyAlignment="1">
      <alignment horizontal="right"/>
    </xf>
    <xf numFmtId="192" fontId="2" fillId="0" borderId="10" xfId="0" applyNumberFormat="1" applyFont="1" applyBorder="1" applyAlignment="1">
      <alignment horizontal="right"/>
    </xf>
    <xf numFmtId="185" fontId="2" fillId="0" borderId="29" xfId="0" applyNumberFormat="1" applyFont="1" applyBorder="1" applyAlignment="1">
      <alignment horizontal="right"/>
    </xf>
    <xf numFmtId="185" fontId="2" fillId="0" borderId="50" xfId="0" applyNumberFormat="1" applyFont="1" applyBorder="1" applyAlignment="1">
      <alignment horizontal="right"/>
    </xf>
    <xf numFmtId="192" fontId="2" fillId="0" borderId="50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185" fontId="2" fillId="0" borderId="19" xfId="0" applyNumberFormat="1" applyFont="1" applyBorder="1" applyAlignment="1">
      <alignment horizontal="right"/>
    </xf>
    <xf numFmtId="185" fontId="2" fillId="0" borderId="16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185" fontId="2" fillId="0" borderId="22" xfId="0" applyNumberFormat="1" applyFont="1" applyBorder="1" applyAlignment="1">
      <alignment horizontal="right"/>
    </xf>
    <xf numFmtId="185" fontId="2" fillId="0" borderId="4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0" fontId="2" fillId="0" borderId="9" xfId="0" applyNumberFormat="1" applyFont="1" applyBorder="1" applyAlignment="1">
      <alignment horizontal="right"/>
    </xf>
    <xf numFmtId="180" fontId="2" fillId="0" borderId="22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85" fontId="2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85" fontId="2" fillId="0" borderId="8" xfId="0" applyNumberFormat="1" applyFont="1" applyBorder="1" applyAlignment="1">
      <alignment horizontal="right"/>
    </xf>
    <xf numFmtId="185" fontId="2" fillId="0" borderId="9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81" fontId="2" fillId="0" borderId="8" xfId="0" applyNumberFormat="1" applyFont="1" applyBorder="1" applyAlignment="1">
      <alignment horizontal="right"/>
    </xf>
    <xf numFmtId="181" fontId="2" fillId="0" borderId="5" xfId="0" applyNumberFormat="1" applyFont="1" applyBorder="1" applyAlignment="1">
      <alignment horizontal="right"/>
    </xf>
    <xf numFmtId="181" fontId="2" fillId="0" borderId="9" xfId="0" applyNumberFormat="1" applyFont="1" applyBorder="1" applyAlignment="1">
      <alignment horizontal="right"/>
    </xf>
    <xf numFmtId="181" fontId="2" fillId="0" borderId="6" xfId="0" applyNumberFormat="1" applyFont="1" applyBorder="1" applyAlignment="1">
      <alignment horizontal="right"/>
    </xf>
    <xf numFmtId="181" fontId="2" fillId="0" borderId="24" xfId="0" applyNumberFormat="1" applyFont="1" applyBorder="1" applyAlignment="1">
      <alignment horizontal="right"/>
    </xf>
    <xf numFmtId="181" fontId="2" fillId="0" borderId="41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181" fontId="2" fillId="0" borderId="12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 horizontal="right"/>
    </xf>
    <xf numFmtId="181" fontId="2" fillId="0" borderId="40" xfId="0" applyNumberFormat="1" applyFont="1" applyBorder="1" applyAlignment="1">
      <alignment horizontal="right"/>
    </xf>
    <xf numFmtId="181" fontId="2" fillId="0" borderId="17" xfId="0" applyNumberFormat="1" applyFont="1" applyBorder="1" applyAlignment="1">
      <alignment horizontal="right"/>
    </xf>
    <xf numFmtId="181" fontId="2" fillId="0" borderId="47" xfId="0" applyNumberFormat="1" applyFont="1" applyBorder="1" applyAlignment="1">
      <alignment horizontal="right"/>
    </xf>
    <xf numFmtId="181" fontId="2" fillId="0" borderId="46" xfId="0" applyNumberFormat="1" applyFont="1" applyBorder="1" applyAlignment="1">
      <alignment horizontal="right"/>
    </xf>
    <xf numFmtId="181" fontId="2" fillId="0" borderId="26" xfId="0" applyNumberFormat="1" applyFont="1" applyBorder="1" applyAlignment="1">
      <alignment horizontal="right"/>
    </xf>
    <xf numFmtId="181" fontId="2" fillId="0" borderId="45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181" fontId="2" fillId="0" borderId="44" xfId="0" applyNumberFormat="1" applyFont="1" applyBorder="1" applyAlignment="1">
      <alignment horizontal="right"/>
    </xf>
    <xf numFmtId="185" fontId="2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84" fontId="2" fillId="0" borderId="29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184" fontId="2" fillId="0" borderId="15" xfId="0" applyNumberFormat="1" applyFont="1" applyBorder="1" applyAlignment="1">
      <alignment horizontal="right"/>
    </xf>
    <xf numFmtId="184" fontId="2" fillId="0" borderId="5" xfId="0" applyNumberFormat="1" applyFont="1" applyBorder="1" applyAlignment="1">
      <alignment horizontal="right"/>
    </xf>
    <xf numFmtId="184" fontId="2" fillId="0" borderId="50" xfId="0" applyNumberFormat="1" applyFont="1" applyBorder="1" applyAlignment="1">
      <alignment horizontal="right"/>
    </xf>
    <xf numFmtId="184" fontId="2" fillId="0" borderId="16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180" fontId="2" fillId="0" borderId="12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8" xfId="0" applyNumberFormat="1" applyFont="1" applyBorder="1" applyAlignment="1">
      <alignment horizontal="right"/>
    </xf>
    <xf numFmtId="192" fontId="2" fillId="0" borderId="47" xfId="0" applyNumberFormat="1" applyFont="1" applyBorder="1" applyAlignment="1">
      <alignment horizontal="right"/>
    </xf>
    <xf numFmtId="192" fontId="2" fillId="0" borderId="58" xfId="0" applyNumberFormat="1" applyFont="1" applyBorder="1" applyAlignment="1">
      <alignment horizontal="right"/>
    </xf>
    <xf numFmtId="0" fontId="3" fillId="0" borderId="55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92" fontId="2" fillId="0" borderId="45" xfId="0" applyNumberFormat="1" applyFont="1" applyBorder="1" applyAlignment="1">
      <alignment horizontal="right"/>
    </xf>
    <xf numFmtId="192" fontId="2" fillId="0" borderId="60" xfId="0" applyNumberFormat="1" applyFont="1" applyBorder="1" applyAlignment="1">
      <alignment horizontal="right"/>
    </xf>
    <xf numFmtId="192" fontId="2" fillId="0" borderId="41" xfId="0" applyNumberFormat="1" applyFont="1" applyBorder="1" applyAlignment="1">
      <alignment horizontal="right"/>
    </xf>
    <xf numFmtId="192" fontId="2" fillId="0" borderId="61" xfId="0" applyNumberFormat="1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185" fontId="2" fillId="0" borderId="58" xfId="0" applyNumberFormat="1" applyFont="1" applyBorder="1" applyAlignment="1">
      <alignment horizontal="right"/>
    </xf>
    <xf numFmtId="185" fontId="2" fillId="0" borderId="46" xfId="0" applyNumberFormat="1" applyFont="1" applyBorder="1" applyAlignment="1">
      <alignment horizontal="right"/>
    </xf>
    <xf numFmtId="180" fontId="2" fillId="0" borderId="58" xfId="0" applyNumberFormat="1" applyFont="1" applyBorder="1" applyAlignment="1">
      <alignment horizontal="right"/>
    </xf>
    <xf numFmtId="180" fontId="2" fillId="0" borderId="46" xfId="0" applyNumberFormat="1" applyFont="1" applyBorder="1" applyAlignment="1">
      <alignment horizontal="right"/>
    </xf>
    <xf numFmtId="180" fontId="2" fillId="0" borderId="61" xfId="0" applyNumberFormat="1" applyFont="1" applyBorder="1" applyAlignment="1">
      <alignment horizontal="right"/>
    </xf>
    <xf numFmtId="180" fontId="2" fillId="0" borderId="40" xfId="0" applyNumberFormat="1" applyFont="1" applyBorder="1" applyAlignment="1">
      <alignment horizontal="right"/>
    </xf>
    <xf numFmtId="185" fontId="2" fillId="0" borderId="60" xfId="0" applyNumberFormat="1" applyFont="1" applyBorder="1" applyAlignment="1">
      <alignment horizontal="right"/>
    </xf>
    <xf numFmtId="185" fontId="2" fillId="0" borderId="44" xfId="0" applyNumberFormat="1" applyFont="1" applyBorder="1" applyAlignment="1">
      <alignment horizontal="right"/>
    </xf>
    <xf numFmtId="192" fontId="2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92" fontId="2" fillId="0" borderId="18" xfId="0" applyNumberFormat="1" applyFont="1" applyBorder="1" applyAlignment="1">
      <alignment horizontal="right"/>
    </xf>
    <xf numFmtId="192" fontId="2" fillId="0" borderId="19" xfId="0" applyNumberFormat="1" applyFont="1" applyBorder="1" applyAlignment="1">
      <alignment horizontal="right"/>
    </xf>
    <xf numFmtId="181" fontId="2" fillId="0" borderId="22" xfId="0" applyNumberFormat="1" applyFont="1" applyBorder="1" applyAlignment="1">
      <alignment horizontal="right"/>
    </xf>
    <xf numFmtId="192" fontId="2" fillId="0" borderId="22" xfId="0" applyNumberFormat="1" applyFont="1" applyBorder="1" applyAlignment="1">
      <alignment horizontal="right"/>
    </xf>
    <xf numFmtId="181" fontId="2" fillId="0" borderId="19" xfId="0" applyNumberFormat="1" applyFont="1" applyBorder="1" applyAlignment="1">
      <alignment horizontal="right"/>
    </xf>
  </cellXfs>
  <cellStyles count="11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085-LTR" xfId="20"/>
    <cellStyle name="콤마_1085-LTR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1" name="Rectangle 7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2" name="AutoShape 8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13</xdr:row>
      <xdr:rowOff>0</xdr:rowOff>
    </xdr:from>
    <xdr:to>
      <xdr:col>30</xdr:col>
      <xdr:colOff>114300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5886450" y="16097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0</xdr:rowOff>
    </xdr:from>
    <xdr:to>
      <xdr:col>30</xdr:col>
      <xdr:colOff>133350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>
          <a:off x="5600700" y="2228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30</xdr:col>
      <xdr:colOff>95250</xdr:colOff>
      <xdr:row>27</xdr:row>
      <xdr:rowOff>0</xdr:rowOff>
    </xdr:to>
    <xdr:sp>
      <xdr:nvSpPr>
        <xdr:cNvPr id="3" name="Line 4"/>
        <xdr:cNvSpPr>
          <a:spLocks/>
        </xdr:cNvSpPr>
      </xdr:nvSpPr>
      <xdr:spPr>
        <a:xfrm>
          <a:off x="2600325" y="334327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0</xdr:rowOff>
    </xdr:from>
    <xdr:to>
      <xdr:col>30</xdr:col>
      <xdr:colOff>104775</xdr:colOff>
      <xdr:row>32</xdr:row>
      <xdr:rowOff>0</xdr:rowOff>
    </xdr:to>
    <xdr:sp>
      <xdr:nvSpPr>
        <xdr:cNvPr id="4" name="Line 5"/>
        <xdr:cNvSpPr>
          <a:spLocks/>
        </xdr:cNvSpPr>
      </xdr:nvSpPr>
      <xdr:spPr>
        <a:xfrm>
          <a:off x="5800725" y="3962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0</xdr:colOff>
      <xdr:row>35</xdr:row>
      <xdr:rowOff>0</xdr:rowOff>
    </xdr:from>
    <xdr:to>
      <xdr:col>30</xdr:col>
      <xdr:colOff>123825</xdr:colOff>
      <xdr:row>35</xdr:row>
      <xdr:rowOff>0</xdr:rowOff>
    </xdr:to>
    <xdr:sp>
      <xdr:nvSpPr>
        <xdr:cNvPr id="5" name="Line 6"/>
        <xdr:cNvSpPr>
          <a:spLocks/>
        </xdr:cNvSpPr>
      </xdr:nvSpPr>
      <xdr:spPr>
        <a:xfrm>
          <a:off x="5800725" y="4333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6" name="Rectangle 17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7" name="AutoShape 18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35</xdr:row>
      <xdr:rowOff>0</xdr:rowOff>
    </xdr:from>
    <xdr:to>
      <xdr:col>30</xdr:col>
      <xdr:colOff>104775</xdr:colOff>
      <xdr:row>35</xdr:row>
      <xdr:rowOff>0</xdr:rowOff>
    </xdr:to>
    <xdr:sp>
      <xdr:nvSpPr>
        <xdr:cNvPr id="1" name="Line 4"/>
        <xdr:cNvSpPr>
          <a:spLocks/>
        </xdr:cNvSpPr>
      </xdr:nvSpPr>
      <xdr:spPr>
        <a:xfrm>
          <a:off x="5600700" y="4333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30</xdr:col>
      <xdr:colOff>104775</xdr:colOff>
      <xdr:row>40</xdr:row>
      <xdr:rowOff>0</xdr:rowOff>
    </xdr:to>
    <xdr:sp>
      <xdr:nvSpPr>
        <xdr:cNvPr id="2" name="Line 5"/>
        <xdr:cNvSpPr>
          <a:spLocks/>
        </xdr:cNvSpPr>
      </xdr:nvSpPr>
      <xdr:spPr>
        <a:xfrm>
          <a:off x="3400425" y="49530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66675</xdr:rowOff>
    </xdr:from>
    <xdr:to>
      <xdr:col>30</xdr:col>
      <xdr:colOff>123825</xdr:colOff>
      <xdr:row>44</xdr:row>
      <xdr:rowOff>66675</xdr:rowOff>
    </xdr:to>
    <xdr:sp>
      <xdr:nvSpPr>
        <xdr:cNvPr id="3" name="Line 6"/>
        <xdr:cNvSpPr>
          <a:spLocks/>
        </xdr:cNvSpPr>
      </xdr:nvSpPr>
      <xdr:spPr>
        <a:xfrm>
          <a:off x="2000250" y="55149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66675</xdr:rowOff>
    </xdr:from>
    <xdr:to>
      <xdr:col>30</xdr:col>
      <xdr:colOff>114300</xdr:colOff>
      <xdr:row>48</xdr:row>
      <xdr:rowOff>66675</xdr:rowOff>
    </xdr:to>
    <xdr:sp>
      <xdr:nvSpPr>
        <xdr:cNvPr id="4" name="Line 7"/>
        <xdr:cNvSpPr>
          <a:spLocks/>
        </xdr:cNvSpPr>
      </xdr:nvSpPr>
      <xdr:spPr>
        <a:xfrm>
          <a:off x="4200525" y="6010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16</xdr:row>
      <xdr:rowOff>0</xdr:rowOff>
    </xdr:from>
    <xdr:to>
      <xdr:col>30</xdr:col>
      <xdr:colOff>85725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000375" y="19812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22</xdr:col>
      <xdr:colOff>114300</xdr:colOff>
      <xdr:row>44</xdr:row>
      <xdr:rowOff>76200</xdr:rowOff>
    </xdr:from>
    <xdr:to>
      <xdr:col>30</xdr:col>
      <xdr:colOff>114300</xdr:colOff>
      <xdr:row>44</xdr:row>
      <xdr:rowOff>76200</xdr:rowOff>
    </xdr:to>
    <xdr:sp>
      <xdr:nvSpPr>
        <xdr:cNvPr id="2" name="Line 2"/>
        <xdr:cNvSpPr>
          <a:spLocks/>
        </xdr:cNvSpPr>
      </xdr:nvSpPr>
      <xdr:spPr>
        <a:xfrm>
          <a:off x="4514850" y="55245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76200</xdr:rowOff>
    </xdr:from>
    <xdr:to>
      <xdr:col>30</xdr:col>
      <xdr:colOff>95250</xdr:colOff>
      <xdr:row>26</xdr:row>
      <xdr:rowOff>76200</xdr:rowOff>
    </xdr:to>
    <xdr:sp>
      <xdr:nvSpPr>
        <xdr:cNvPr id="3" name="Line 3"/>
        <xdr:cNvSpPr>
          <a:spLocks/>
        </xdr:cNvSpPr>
      </xdr:nvSpPr>
      <xdr:spPr>
        <a:xfrm>
          <a:off x="5000625" y="32956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76200</xdr:colOff>
      <xdr:row>28</xdr:row>
      <xdr:rowOff>76200</xdr:rowOff>
    </xdr:from>
    <xdr:to>
      <xdr:col>30</xdr:col>
      <xdr:colOff>114300</xdr:colOff>
      <xdr:row>28</xdr:row>
      <xdr:rowOff>76200</xdr:rowOff>
    </xdr:to>
    <xdr:sp>
      <xdr:nvSpPr>
        <xdr:cNvPr id="4" name="Line 4"/>
        <xdr:cNvSpPr>
          <a:spLocks/>
        </xdr:cNvSpPr>
      </xdr:nvSpPr>
      <xdr:spPr>
        <a:xfrm>
          <a:off x="5876925" y="3543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114300</xdr:colOff>
      <xdr:row>31</xdr:row>
      <xdr:rowOff>76200</xdr:rowOff>
    </xdr:from>
    <xdr:to>
      <xdr:col>30</xdr:col>
      <xdr:colOff>114300</xdr:colOff>
      <xdr:row>31</xdr:row>
      <xdr:rowOff>76200</xdr:rowOff>
    </xdr:to>
    <xdr:sp>
      <xdr:nvSpPr>
        <xdr:cNvPr id="5" name="Line 5"/>
        <xdr:cNvSpPr>
          <a:spLocks/>
        </xdr:cNvSpPr>
      </xdr:nvSpPr>
      <xdr:spPr>
        <a:xfrm>
          <a:off x="5915025" y="3914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14</xdr:row>
      <xdr:rowOff>0</xdr:rowOff>
    </xdr:from>
    <xdr:to>
      <xdr:col>20</xdr:col>
      <xdr:colOff>0</xdr:colOff>
      <xdr:row>15</xdr:row>
      <xdr:rowOff>19050</xdr:rowOff>
    </xdr:to>
    <xdr:pic>
      <xdr:nvPicPr>
        <xdr:cNvPr id="1" name="Combo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733550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12</xdr:row>
      <xdr:rowOff>0</xdr:rowOff>
    </xdr:from>
    <xdr:to>
      <xdr:col>19</xdr:col>
      <xdr:colOff>0</xdr:colOff>
      <xdr:row>13</xdr:row>
      <xdr:rowOff>19050</xdr:rowOff>
    </xdr:to>
    <xdr:pic>
      <xdr:nvPicPr>
        <xdr:cNvPr id="2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485900"/>
          <a:ext cx="4000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43</xdr:row>
      <xdr:rowOff>0</xdr:rowOff>
    </xdr:from>
    <xdr:to>
      <xdr:col>20</xdr:col>
      <xdr:colOff>0</xdr:colOff>
      <xdr:row>44</xdr:row>
      <xdr:rowOff>19050</xdr:rowOff>
    </xdr:to>
    <xdr:pic>
      <xdr:nvPicPr>
        <xdr:cNvPr id="3" name="ComboBox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5324475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41</xdr:row>
      <xdr:rowOff>0</xdr:rowOff>
    </xdr:from>
    <xdr:to>
      <xdr:col>19</xdr:col>
      <xdr:colOff>0</xdr:colOff>
      <xdr:row>42</xdr:row>
      <xdr:rowOff>19050</xdr:rowOff>
    </xdr:to>
    <xdr:pic>
      <xdr:nvPicPr>
        <xdr:cNvPr id="4" name="ComboBox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5076825"/>
          <a:ext cx="4000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5" name="Rectangle 26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6" name="AutoShape 27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1" name="Rectangle 68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2" name="AutoShape 69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</xdr:row>
      <xdr:rowOff>47625</xdr:rowOff>
    </xdr:from>
    <xdr:to>
      <xdr:col>41</xdr:col>
      <xdr:colOff>123825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01000" y="171450"/>
          <a:ext cx="323850" cy="3238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40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400925" y="371475"/>
          <a:ext cx="600075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es.co.kr/" TargetMode="External" /><Relationship Id="rId2" Type="http://schemas.openxmlformats.org/officeDocument/2006/relationships/hyperlink" Target="mailto:ntes@ntes.co.k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63"/>
  <sheetViews>
    <sheetView view="pageBreakPreview" zoomScaleSheetLayoutView="100" workbookViewId="0" topLeftCell="A1">
      <selection activeCell="S3" sqref="S3"/>
    </sheetView>
  </sheetViews>
  <sheetFormatPr defaultColWidth="8.88671875" defaultRowHeight="13.5"/>
  <cols>
    <col min="1" max="52" width="3.77734375" style="2" customWidth="1"/>
    <col min="53" max="16384" width="8.88671875" style="2" customWidth="1"/>
  </cols>
  <sheetData>
    <row r="1" spans="1:21" ht="11.25" customHeight="1">
      <c r="A1" s="33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 t="s">
        <v>2</v>
      </c>
      <c r="P1" s="9"/>
      <c r="Q1" s="120" t="s">
        <v>354</v>
      </c>
      <c r="R1" s="120"/>
      <c r="S1" s="120"/>
      <c r="T1" s="120"/>
      <c r="U1" s="9"/>
    </row>
    <row r="2" spans="1:21" ht="11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81"/>
      <c r="P2" s="81"/>
      <c r="Q2" s="82"/>
      <c r="R2" s="82"/>
      <c r="S2" s="82"/>
      <c r="T2" s="82"/>
      <c r="U2" s="1"/>
    </row>
    <row r="3" spans="1:21" ht="11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"/>
      <c r="P3" s="1"/>
      <c r="Q3" s="22"/>
      <c r="R3" s="22"/>
      <c r="S3" s="22"/>
      <c r="T3" s="22"/>
      <c r="U3" s="1"/>
    </row>
    <row r="4" spans="1:21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1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1.25" customHeight="1">
      <c r="A10" s="1"/>
      <c r="B10" s="1"/>
      <c r="C10" s="1"/>
      <c r="D10" s="1"/>
      <c r="E10" s="1"/>
      <c r="F10" s="127" t="s">
        <v>352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"/>
      <c r="Q10" s="1"/>
      <c r="R10" s="1"/>
      <c r="S10" s="1"/>
      <c r="T10" s="1"/>
      <c r="U10" s="1"/>
    </row>
    <row r="11" spans="1:21" ht="11.25" customHeight="1">
      <c r="A11" s="1"/>
      <c r="B11" s="1"/>
      <c r="C11" s="1"/>
      <c r="D11" s="1"/>
      <c r="E11" s="1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"/>
      <c r="Q11" s="1"/>
      <c r="R11" s="1"/>
      <c r="S11" s="1"/>
      <c r="T11" s="1"/>
      <c r="U11" s="1"/>
    </row>
    <row r="12" spans="1:21" ht="11.25" customHeight="1">
      <c r="A12" s="1"/>
      <c r="B12" s="1"/>
      <c r="C12" s="1"/>
      <c r="D12" s="1"/>
      <c r="E12" s="1"/>
      <c r="F12" s="129" t="s">
        <v>353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"/>
      <c r="Q12" s="1"/>
      <c r="R12" s="1"/>
      <c r="S12" s="1"/>
      <c r="T12" s="1"/>
      <c r="U12" s="1"/>
    </row>
    <row r="13" spans="1:21" ht="11.25" customHeight="1" thickBot="1">
      <c r="A13" s="1"/>
      <c r="B13" s="1"/>
      <c r="C13" s="1"/>
      <c r="D13" s="1"/>
      <c r="E13" s="1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"/>
      <c r="Q13" s="1"/>
      <c r="R13" s="1"/>
      <c r="S13" s="1"/>
      <c r="T13" s="1"/>
      <c r="U13" s="1"/>
    </row>
    <row r="14" spans="1:21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1.25" customHeight="1">
      <c r="A15" s="1"/>
      <c r="B15" s="1"/>
      <c r="C15" s="1"/>
      <c r="D15" s="1"/>
      <c r="E15" s="1"/>
      <c r="F15" s="1"/>
      <c r="G15" s="67"/>
      <c r="H15" s="67"/>
      <c r="I15" s="67"/>
      <c r="J15" s="67"/>
      <c r="K15" s="67"/>
      <c r="L15" s="67"/>
      <c r="M15" s="67"/>
      <c r="N15" s="67"/>
      <c r="O15" s="1"/>
      <c r="P15" s="1"/>
      <c r="Q15" s="1"/>
      <c r="R15" s="1"/>
      <c r="S15" s="1"/>
      <c r="T15" s="1"/>
      <c r="U15" s="1"/>
    </row>
    <row r="16" spans="1:21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8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8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8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8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8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8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8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8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 t="s">
        <v>201</v>
      </c>
      <c r="P42" s="24">
        <f>sheetqty+2</f>
        <v>8</v>
      </c>
      <c r="Q42" s="1" t="s">
        <v>324</v>
      </c>
      <c r="R42" s="1"/>
      <c r="S42" s="1"/>
      <c r="T42" s="63"/>
      <c r="U42" s="1"/>
    </row>
    <row r="43" spans="1:21" ht="11.25" customHeight="1">
      <c r="A43" s="73">
        <v>5</v>
      </c>
      <c r="B43" s="143"/>
      <c r="C43" s="144"/>
      <c r="D43" s="43"/>
      <c r="E43" s="43"/>
      <c r="F43" s="43"/>
      <c r="G43" s="43"/>
      <c r="H43" s="43"/>
      <c r="I43" s="43"/>
      <c r="J43" s="43"/>
      <c r="K43" s="43"/>
      <c r="L43" s="43"/>
      <c r="M43" s="125"/>
      <c r="N43" s="124"/>
      <c r="O43" s="123"/>
      <c r="P43" s="124"/>
      <c r="Q43" s="123"/>
      <c r="R43" s="124"/>
      <c r="S43" s="125"/>
      <c r="T43" s="125"/>
      <c r="U43" s="1"/>
    </row>
    <row r="44" spans="1:21" ht="11.25" customHeight="1">
      <c r="A44" s="77">
        <v>4</v>
      </c>
      <c r="B44" s="140"/>
      <c r="C44" s="141"/>
      <c r="D44" s="34"/>
      <c r="E44" s="34"/>
      <c r="F44" s="34"/>
      <c r="G44" s="34"/>
      <c r="H44" s="34"/>
      <c r="I44" s="34"/>
      <c r="J44" s="34"/>
      <c r="K44" s="34"/>
      <c r="L44" s="34"/>
      <c r="M44" s="126"/>
      <c r="N44" s="122"/>
      <c r="O44" s="121"/>
      <c r="P44" s="122"/>
      <c r="Q44" s="121"/>
      <c r="R44" s="122"/>
      <c r="S44" s="126"/>
      <c r="T44" s="126"/>
      <c r="U44" s="1"/>
    </row>
    <row r="45" spans="1:21" ht="11.25" customHeight="1">
      <c r="A45" s="77">
        <v>3</v>
      </c>
      <c r="B45" s="140"/>
      <c r="C45" s="141"/>
      <c r="D45" s="34"/>
      <c r="E45" s="34"/>
      <c r="F45" s="34"/>
      <c r="G45" s="34"/>
      <c r="H45" s="34"/>
      <c r="I45" s="34"/>
      <c r="J45" s="34"/>
      <c r="K45" s="34"/>
      <c r="L45" s="34"/>
      <c r="M45" s="126"/>
      <c r="N45" s="122"/>
      <c r="O45" s="121"/>
      <c r="P45" s="122"/>
      <c r="Q45" s="121"/>
      <c r="R45" s="122"/>
      <c r="S45" s="126"/>
      <c r="T45" s="126"/>
      <c r="U45" s="1"/>
    </row>
    <row r="46" spans="1:21" ht="11.25" customHeight="1">
      <c r="A46" s="77">
        <v>2</v>
      </c>
      <c r="B46" s="140"/>
      <c r="C46" s="141"/>
      <c r="D46" s="34"/>
      <c r="E46" s="34"/>
      <c r="F46" s="34"/>
      <c r="G46" s="34"/>
      <c r="H46" s="34"/>
      <c r="I46" s="34"/>
      <c r="J46" s="34"/>
      <c r="K46" s="34"/>
      <c r="L46" s="34"/>
      <c r="M46" s="126"/>
      <c r="N46" s="122"/>
      <c r="O46" s="121"/>
      <c r="P46" s="122"/>
      <c r="Q46" s="121"/>
      <c r="R46" s="122"/>
      <c r="S46" s="126"/>
      <c r="T46" s="126"/>
      <c r="U46" s="1"/>
    </row>
    <row r="47" spans="1:21" ht="11.25" customHeight="1">
      <c r="A47" s="77">
        <v>1</v>
      </c>
      <c r="B47" s="140" t="s">
        <v>317</v>
      </c>
      <c r="C47" s="141"/>
      <c r="D47" s="34" t="s">
        <v>357</v>
      </c>
      <c r="E47" s="34"/>
      <c r="F47" s="34"/>
      <c r="G47" s="34"/>
      <c r="H47" s="34"/>
      <c r="I47" s="34"/>
      <c r="J47" s="34"/>
      <c r="K47" s="34"/>
      <c r="L47" s="34"/>
      <c r="M47" s="126"/>
      <c r="N47" s="122"/>
      <c r="O47" s="121" t="str">
        <f>O48</f>
        <v>S. J. Lee</v>
      </c>
      <c r="P47" s="122"/>
      <c r="Q47" s="121" t="str">
        <f>Q48</f>
        <v>LSJ</v>
      </c>
      <c r="R47" s="122"/>
      <c r="S47" s="126" t="str">
        <f>S48</f>
        <v>Lee</v>
      </c>
      <c r="T47" s="126"/>
      <c r="U47" s="1"/>
    </row>
    <row r="48" spans="1:21" ht="11.25" customHeight="1">
      <c r="A48" s="77">
        <v>0</v>
      </c>
      <c r="B48" s="140" t="s">
        <v>355</v>
      </c>
      <c r="C48" s="141"/>
      <c r="D48" s="34" t="s">
        <v>356</v>
      </c>
      <c r="E48" s="34"/>
      <c r="F48" s="34"/>
      <c r="G48" s="34"/>
      <c r="H48" s="34"/>
      <c r="I48" s="34"/>
      <c r="J48" s="34"/>
      <c r="K48" s="34"/>
      <c r="L48" s="34"/>
      <c r="M48" s="126"/>
      <c r="N48" s="122"/>
      <c r="O48" s="121" t="s">
        <v>325</v>
      </c>
      <c r="P48" s="122"/>
      <c r="Q48" s="121" t="s">
        <v>326</v>
      </c>
      <c r="R48" s="122"/>
      <c r="S48" s="126" t="s">
        <v>327</v>
      </c>
      <c r="T48" s="126"/>
      <c r="U48" s="1"/>
    </row>
    <row r="49" spans="1:21" ht="11.25" customHeight="1">
      <c r="A49" s="132" t="s">
        <v>328</v>
      </c>
      <c r="B49" s="134" t="s">
        <v>5</v>
      </c>
      <c r="C49" s="134"/>
      <c r="D49" s="136" t="s">
        <v>329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4" t="s">
        <v>330</v>
      </c>
      <c r="P49" s="134"/>
      <c r="Q49" s="134" t="s">
        <v>331</v>
      </c>
      <c r="R49" s="134"/>
      <c r="S49" s="134" t="s">
        <v>332</v>
      </c>
      <c r="T49" s="136"/>
      <c r="U49" s="1"/>
    </row>
    <row r="50" spans="1:21" ht="11.25" customHeight="1">
      <c r="A50" s="133"/>
      <c r="B50" s="135"/>
      <c r="C50" s="135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5"/>
      <c r="P50" s="135"/>
      <c r="Q50" s="135"/>
      <c r="R50" s="135"/>
      <c r="S50" s="135"/>
      <c r="T50" s="138"/>
      <c r="U50" s="1"/>
    </row>
    <row r="51" spans="1:2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1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1"/>
    </row>
    <row r="54" spans="1:20" ht="11.25" customHeight="1">
      <c r="A54" s="142" t="s">
        <v>323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</row>
    <row r="55" spans="1:21" ht="11.2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"/>
    </row>
    <row r="56" spans="1:21" ht="11.25" customHeight="1">
      <c r="A56" s="131" t="s">
        <v>333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"/>
    </row>
    <row r="57" spans="1:20" ht="11.25" customHeight="1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</row>
    <row r="58" spans="1:20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1.25" customHeight="1">
      <c r="A60" s="1"/>
      <c r="B60" s="1" t="s">
        <v>334</v>
      </c>
      <c r="C60" s="1"/>
      <c r="D60" s="83" t="s">
        <v>335</v>
      </c>
      <c r="E60" s="1"/>
      <c r="F60" s="1"/>
      <c r="G60" s="1"/>
      <c r="H60" s="1"/>
      <c r="I60" s="1"/>
      <c r="J60" s="21"/>
      <c r="K60" s="21"/>
      <c r="L60" s="21"/>
      <c r="M60" s="1"/>
      <c r="N60" s="21"/>
      <c r="O60" s="1" t="s">
        <v>336</v>
      </c>
      <c r="P60" s="1"/>
      <c r="Q60" s="83" t="s">
        <v>337</v>
      </c>
      <c r="R60" s="1"/>
      <c r="S60" s="1"/>
      <c r="T60" s="1"/>
    </row>
    <row r="61" spans="1:20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R61" s="1"/>
      <c r="S61" s="1"/>
      <c r="T61" s="1"/>
    </row>
    <row r="62" spans="1:20" ht="11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1.25" customHeight="1">
      <c r="A63" s="14" t="s">
        <v>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84" t="s">
        <v>338</v>
      </c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</sheetData>
  <mergeCells count="41">
    <mergeCell ref="B43:C43"/>
    <mergeCell ref="M45:N45"/>
    <mergeCell ref="O46:P46"/>
    <mergeCell ref="O43:P43"/>
    <mergeCell ref="B44:C44"/>
    <mergeCell ref="M44:N44"/>
    <mergeCell ref="M43:N43"/>
    <mergeCell ref="B45:C45"/>
    <mergeCell ref="O45:P45"/>
    <mergeCell ref="B47:C47"/>
    <mergeCell ref="M47:N47"/>
    <mergeCell ref="O47:P47"/>
    <mergeCell ref="B46:C46"/>
    <mergeCell ref="B49:C50"/>
    <mergeCell ref="O48:P48"/>
    <mergeCell ref="S46:T46"/>
    <mergeCell ref="Q47:R47"/>
    <mergeCell ref="S47:T47"/>
    <mergeCell ref="M46:N46"/>
    <mergeCell ref="Q46:R46"/>
    <mergeCell ref="Q49:R50"/>
    <mergeCell ref="A56:T57"/>
    <mergeCell ref="Q48:R48"/>
    <mergeCell ref="S48:T48"/>
    <mergeCell ref="M48:N48"/>
    <mergeCell ref="A49:A50"/>
    <mergeCell ref="O49:P50"/>
    <mergeCell ref="D49:N50"/>
    <mergeCell ref="B48:C48"/>
    <mergeCell ref="A54:T55"/>
    <mergeCell ref="S49:T50"/>
    <mergeCell ref="Q1:T1"/>
    <mergeCell ref="Q45:R45"/>
    <mergeCell ref="O44:P44"/>
    <mergeCell ref="Q44:R44"/>
    <mergeCell ref="Q43:R43"/>
    <mergeCell ref="S43:T43"/>
    <mergeCell ref="S44:T44"/>
    <mergeCell ref="F10:O11"/>
    <mergeCell ref="F12:O13"/>
    <mergeCell ref="S45:T45"/>
  </mergeCells>
  <hyperlinks>
    <hyperlink ref="D60" r:id="rId1" display="www.ntes.co.kr"/>
    <hyperlink ref="Q60" r:id="rId2" display="ntes@ntes.co.kr"/>
  </hyperlinks>
  <printOptions/>
  <pageMargins left="0.9448818897637796" right="0.3937007874015748" top="0.7874015748031497" bottom="0.3937007874015748" header="0.5118110236220472" footer="0.5118110236220472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F63"/>
  <sheetViews>
    <sheetView view="pageBreakPreview" zoomScaleSheetLayoutView="100" workbookViewId="0" topLeftCell="A1">
      <selection activeCell="W4" sqref="W4"/>
    </sheetView>
  </sheetViews>
  <sheetFormatPr defaultColWidth="8.88671875" defaultRowHeight="13.5"/>
  <cols>
    <col min="1" max="38" width="2.77734375" style="2" customWidth="1"/>
    <col min="39" max="63" width="2.3359375" style="2" customWidth="1"/>
    <col min="64" max="16384" width="8.88671875" style="2" customWidth="1"/>
  </cols>
  <sheetData>
    <row r="1" spans="1:32" ht="11.25" customHeight="1">
      <c r="A1" s="85"/>
      <c r="B1" s="85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  <c r="U1" s="87" t="s">
        <v>339</v>
      </c>
      <c r="V1" s="71"/>
      <c r="W1" s="72"/>
      <c r="X1" s="145" t="str">
        <f>docno</f>
        <v>TM - PSY - 100</v>
      </c>
      <c r="Y1" s="145"/>
      <c r="Z1" s="145"/>
      <c r="AA1" s="145"/>
      <c r="AB1" s="145"/>
      <c r="AC1" s="4"/>
      <c r="AD1" s="5"/>
      <c r="AE1" s="5"/>
      <c r="AF1" s="5"/>
    </row>
    <row r="2" spans="1:32" ht="11.25" customHeight="1">
      <c r="A2" s="115" t="str">
        <f>title</f>
        <v>P S Y C H R O M E T R I C S   :     B A S I C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74" t="s">
        <v>340</v>
      </c>
      <c r="V2" s="75"/>
      <c r="W2" s="76"/>
      <c r="X2" s="119" t="s">
        <v>358</v>
      </c>
      <c r="Y2" s="119"/>
      <c r="Z2" s="119"/>
      <c r="AA2" s="119"/>
      <c r="AB2" s="119"/>
      <c r="AC2" s="68"/>
      <c r="AD2" s="5"/>
      <c r="AE2" s="5"/>
      <c r="AF2" s="5"/>
    </row>
    <row r="3" spans="1:32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6"/>
      <c r="U3" s="74" t="s">
        <v>341</v>
      </c>
      <c r="V3" s="75"/>
      <c r="W3" s="76"/>
      <c r="X3" s="88">
        <v>0</v>
      </c>
      <c r="Y3" s="89">
        <v>1</v>
      </c>
      <c r="Z3" s="89"/>
      <c r="AA3" s="89"/>
      <c r="AB3" s="90"/>
      <c r="AC3" s="68"/>
      <c r="AD3" s="5"/>
      <c r="AE3" s="5"/>
      <c r="AF3" s="5"/>
    </row>
    <row r="4" spans="1:32" ht="11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8"/>
      <c r="U4" s="91" t="s">
        <v>342</v>
      </c>
      <c r="V4" s="92"/>
      <c r="W4" s="93"/>
      <c r="X4" s="92"/>
      <c r="Y4" s="92">
        <v>1</v>
      </c>
      <c r="Z4" s="62" t="s">
        <v>343</v>
      </c>
      <c r="AA4" s="94">
        <v>1</v>
      </c>
      <c r="AB4" s="92"/>
      <c r="AC4" s="4"/>
      <c r="AD4" s="5"/>
      <c r="AE4" s="5"/>
      <c r="AF4" s="5"/>
    </row>
    <row r="5" spans="1:32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"/>
      <c r="V5" s="3"/>
      <c r="W5" s="3"/>
      <c r="X5" s="3"/>
      <c r="Y5" s="3"/>
      <c r="Z5" s="3"/>
      <c r="AA5" s="3"/>
      <c r="AB5" s="3"/>
      <c r="AC5" s="4"/>
      <c r="AD5" s="5"/>
      <c r="AE5" s="5"/>
      <c r="AF5" s="5"/>
    </row>
    <row r="6" spans="1:32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3"/>
      <c r="W6" s="3"/>
      <c r="X6" s="3"/>
      <c r="Y6" s="3"/>
      <c r="Z6" s="3"/>
      <c r="AA6" s="3"/>
      <c r="AB6" s="3"/>
      <c r="AC6" s="4"/>
      <c r="AD6" s="5"/>
      <c r="AE6" s="5"/>
      <c r="AF6" s="5"/>
    </row>
    <row r="7" spans="1:29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3"/>
      <c r="W7" s="3"/>
      <c r="X7" s="3"/>
      <c r="Y7" s="3"/>
      <c r="Z7" s="3"/>
      <c r="AA7" s="3"/>
      <c r="AB7" s="3"/>
      <c r="AC7" s="3"/>
    </row>
    <row r="8" spans="1:29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  <c r="AC8" s="3"/>
    </row>
    <row r="9" spans="1:29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</row>
    <row r="10" spans="1:29" ht="11.25" customHeight="1">
      <c r="A10" s="1"/>
      <c r="B10" s="1"/>
      <c r="C10" s="1"/>
      <c r="D10" s="1"/>
      <c r="E10" s="1"/>
      <c r="F10" s="114" t="s">
        <v>344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"/>
      <c r="S10" s="1"/>
      <c r="T10" s="1"/>
      <c r="U10" s="1"/>
      <c r="V10" s="3"/>
      <c r="W10" s="3"/>
      <c r="X10" s="3"/>
      <c r="Y10" s="3"/>
      <c r="Z10" s="3"/>
      <c r="AA10" s="3"/>
      <c r="AB10" s="3"/>
      <c r="AC10" s="3"/>
    </row>
    <row r="11" spans="1:29" ht="11.25" customHeight="1">
      <c r="A11" s="1"/>
      <c r="B11" s="1"/>
      <c r="C11" s="1"/>
      <c r="D11" s="1"/>
      <c r="E11" s="1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"/>
      <c r="S11" s="1"/>
      <c r="T11" s="1"/>
      <c r="U11" s="1"/>
      <c r="V11" s="3"/>
      <c r="W11" s="3"/>
      <c r="X11" s="3"/>
      <c r="Y11" s="3"/>
      <c r="Z11" s="3"/>
      <c r="AA11" s="3"/>
      <c r="AB11" s="3"/>
      <c r="AC11" s="3"/>
    </row>
    <row r="12" spans="1:29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"/>
      <c r="W12" s="3"/>
      <c r="X12" s="3"/>
      <c r="Y12" s="3"/>
      <c r="Z12" s="3"/>
      <c r="AA12" s="3"/>
      <c r="AB12" s="3"/>
      <c r="AC12" s="3"/>
    </row>
    <row r="13" spans="1:21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9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"/>
      <c r="W14" s="3"/>
      <c r="X14" s="3"/>
      <c r="Y14" s="3"/>
      <c r="Z14" s="3"/>
      <c r="AA14" s="3"/>
      <c r="AB14" s="3"/>
      <c r="AC14" s="3"/>
    </row>
    <row r="15" spans="1:29" ht="11.25" customHeight="1">
      <c r="A15" s="1"/>
      <c r="B15" s="1"/>
      <c r="C15" s="1"/>
      <c r="D15" s="1"/>
      <c r="E15" s="1"/>
      <c r="F15" s="11" t="s">
        <v>345</v>
      </c>
      <c r="G15" s="1"/>
      <c r="H15" s="8" t="str">
        <f>toc1</f>
        <v>Introduction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"/>
      <c r="W15" s="3"/>
      <c r="X15" s="3"/>
      <c r="Y15" s="3"/>
      <c r="Z15" s="3"/>
      <c r="AA15" s="3"/>
      <c r="AB15" s="3"/>
      <c r="AC15" s="3"/>
    </row>
    <row r="16" spans="1:29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"/>
      <c r="W16" s="3"/>
      <c r="X16" s="3"/>
      <c r="Y16" s="3"/>
      <c r="Z16" s="3"/>
      <c r="AA16" s="3"/>
      <c r="AB16" s="3"/>
      <c r="AC16" s="3"/>
    </row>
    <row r="17" spans="1:29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"/>
      <c r="W17" s="3"/>
      <c r="X17" s="3"/>
      <c r="Y17" s="3"/>
      <c r="Z17" s="3"/>
      <c r="AA17" s="3"/>
      <c r="AB17" s="3"/>
      <c r="AC17" s="3"/>
    </row>
    <row r="18" spans="1:29" ht="11.25" customHeight="1">
      <c r="A18" s="1"/>
      <c r="B18" s="1"/>
      <c r="C18" s="1"/>
      <c r="D18" s="1"/>
      <c r="E18" s="1"/>
      <c r="F18" s="11" t="s">
        <v>346</v>
      </c>
      <c r="G18" s="1"/>
      <c r="H18" s="8" t="str">
        <f>toc2</f>
        <v>Definition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/>
      <c r="W18" s="3"/>
      <c r="X18" s="3"/>
      <c r="Y18" s="3"/>
      <c r="Z18" s="3"/>
      <c r="AA18" s="3"/>
      <c r="AB18" s="3"/>
      <c r="AC18" s="3"/>
    </row>
    <row r="19" spans="1:29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3"/>
      <c r="W19" s="3"/>
      <c r="X19" s="3"/>
      <c r="Y19" s="3"/>
      <c r="Z19" s="3"/>
      <c r="AA19" s="3"/>
      <c r="AB19" s="3"/>
      <c r="AC19" s="3"/>
    </row>
    <row r="20" spans="1:21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9" ht="11.25" customHeight="1">
      <c r="A21" s="1"/>
      <c r="B21" s="1"/>
      <c r="C21" s="1"/>
      <c r="D21" s="1"/>
      <c r="E21" s="1"/>
      <c r="F21" s="11" t="s">
        <v>347</v>
      </c>
      <c r="G21" s="1"/>
      <c r="H21" s="8" t="str">
        <f>toc3</f>
        <v>Humidity Parameters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"/>
      <c r="W21" s="3"/>
      <c r="X21" s="3"/>
      <c r="Y21" s="3"/>
      <c r="Z21" s="3"/>
      <c r="AA21" s="3"/>
      <c r="AB21" s="3"/>
      <c r="AC21" s="3"/>
    </row>
    <row r="22" spans="1:21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9" ht="11.25" customHeight="1">
      <c r="A24" s="1"/>
      <c r="B24" s="1"/>
      <c r="C24" s="1"/>
      <c r="D24" s="1"/>
      <c r="E24" s="1"/>
      <c r="F24" s="11" t="s">
        <v>348</v>
      </c>
      <c r="G24" s="1"/>
      <c r="H24" s="8" t="str">
        <f>toc4</f>
        <v>Humidity Parameters involving Saturation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"/>
      <c r="W24" s="3"/>
      <c r="X24" s="3"/>
      <c r="Y24" s="3"/>
      <c r="Z24" s="3"/>
      <c r="AA24" s="3"/>
      <c r="AB24" s="3"/>
      <c r="AC24" s="3"/>
    </row>
    <row r="25" spans="1:21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9" ht="11.25" customHeight="1">
      <c r="A27" s="1"/>
      <c r="B27" s="1"/>
      <c r="C27" s="1"/>
      <c r="D27" s="1"/>
      <c r="E27" s="1"/>
      <c r="F27" s="11" t="s">
        <v>349</v>
      </c>
      <c r="G27" s="1"/>
      <c r="H27" s="8" t="str">
        <f>toc5</f>
        <v>Perfect Gas Relations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"/>
      <c r="W27" s="3"/>
      <c r="X27" s="3"/>
      <c r="Y27" s="3"/>
      <c r="Z27" s="3"/>
      <c r="AA27" s="3"/>
      <c r="AB27" s="3"/>
      <c r="AC27" s="3"/>
    </row>
    <row r="28" spans="1:21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9" ht="11.25" customHeight="1">
      <c r="A30" s="1"/>
      <c r="B30" s="1"/>
      <c r="C30" s="1"/>
      <c r="D30" s="1"/>
      <c r="E30" s="1"/>
      <c r="F30" s="11" t="s">
        <v>350</v>
      </c>
      <c r="G30" s="1"/>
      <c r="H30" s="8" t="str">
        <f>toc6</f>
        <v>Thermodynamic Properties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3"/>
      <c r="W30" s="3"/>
      <c r="X30" s="3"/>
      <c r="Y30" s="3"/>
      <c r="Z30" s="3"/>
      <c r="AA30" s="3"/>
      <c r="AB30" s="3"/>
      <c r="AC30" s="3"/>
    </row>
    <row r="31" spans="1:2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9" ht="11.25" customHeight="1">
      <c r="A33" s="1"/>
      <c r="B33" s="1"/>
      <c r="C33" s="1"/>
      <c r="D33" s="1"/>
      <c r="E33" s="1"/>
      <c r="F33" s="11" t="s">
        <v>351</v>
      </c>
      <c r="G33" s="1"/>
      <c r="H33" s="8" t="str">
        <f>toc7</f>
        <v>Calculation Examples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/>
      <c r="W33" s="3"/>
      <c r="X33" s="3"/>
      <c r="Y33" s="3"/>
      <c r="Z33" s="3"/>
      <c r="AA33" s="3"/>
      <c r="AB33" s="3"/>
      <c r="AC33" s="3"/>
    </row>
    <row r="34" spans="1:21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9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3"/>
      <c r="W36" s="3"/>
      <c r="X36" s="3"/>
      <c r="Y36" s="3"/>
      <c r="Z36" s="3"/>
      <c r="AA36" s="3"/>
      <c r="AB36" s="3"/>
      <c r="AC36" s="3"/>
    </row>
    <row r="37" spans="1:21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3"/>
      <c r="W39" s="3"/>
      <c r="X39" s="3"/>
      <c r="Y39" s="3"/>
      <c r="Z39" s="3"/>
      <c r="AA39" s="3"/>
      <c r="AB39" s="3"/>
      <c r="AC39" s="3"/>
    </row>
    <row r="40" spans="1:21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9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"/>
      <c r="W42" s="3"/>
      <c r="X42" s="3"/>
      <c r="Y42" s="3"/>
      <c r="Z42" s="3"/>
      <c r="AA42" s="3"/>
      <c r="AB42" s="3"/>
      <c r="AC42" s="3"/>
    </row>
    <row r="43" spans="1:21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9" ht="11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  <c r="AC45" s="3"/>
    </row>
    <row r="46" spans="1:29" ht="11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3"/>
      <c r="W46" s="3"/>
      <c r="X46" s="3"/>
      <c r="Y46" s="3"/>
      <c r="Z46" s="3"/>
      <c r="AA46" s="3"/>
      <c r="AB46" s="3"/>
      <c r="AC46" s="3"/>
    </row>
    <row r="47" spans="1:29" ht="11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3"/>
      <c r="W47" s="3"/>
      <c r="X47" s="3"/>
      <c r="Y47" s="3"/>
      <c r="Z47" s="3"/>
      <c r="AA47" s="3"/>
      <c r="AB47" s="3"/>
      <c r="AC47" s="3"/>
    </row>
    <row r="48" spans="1:29" ht="11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3"/>
      <c r="W48" s="3"/>
      <c r="X48" s="3"/>
      <c r="Y48" s="3"/>
      <c r="Z48" s="3"/>
      <c r="AA48" s="3"/>
      <c r="AB48" s="3"/>
      <c r="AC48" s="3"/>
    </row>
    <row r="49" spans="1:29" ht="11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3"/>
      <c r="W49" s="3"/>
      <c r="X49" s="3"/>
      <c r="Y49" s="3"/>
      <c r="Z49" s="3"/>
      <c r="AA49" s="3"/>
      <c r="AB49" s="3"/>
      <c r="AC49" s="3"/>
    </row>
    <row r="50" spans="1:29" ht="11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3"/>
      <c r="W50" s="3"/>
      <c r="X50" s="3"/>
      <c r="Y50" s="3"/>
      <c r="Z50" s="3"/>
      <c r="AA50" s="3"/>
      <c r="AB50" s="3"/>
      <c r="AC50" s="3"/>
    </row>
    <row r="51" spans="1:29" ht="11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3"/>
      <c r="W51" s="3"/>
      <c r="X51" s="3"/>
      <c r="Y51" s="3"/>
      <c r="Z51" s="3"/>
      <c r="AA51" s="3"/>
      <c r="AB51" s="3"/>
      <c r="AC51" s="3"/>
    </row>
    <row r="52" spans="1:29" ht="11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3"/>
      <c r="W52" s="3"/>
      <c r="X52" s="3"/>
      <c r="Y52" s="3"/>
      <c r="Z52" s="3"/>
      <c r="AA52" s="3"/>
      <c r="AB52" s="3"/>
      <c r="AC52" s="3"/>
    </row>
    <row r="53" spans="1:29" ht="11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3"/>
      <c r="W53" s="3"/>
      <c r="X53" s="3"/>
      <c r="Y53" s="3"/>
      <c r="Z53" s="3"/>
      <c r="AA53" s="3"/>
      <c r="AB53" s="3"/>
      <c r="AC53" s="3"/>
    </row>
    <row r="54" spans="1:29" ht="11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3"/>
      <c r="W54" s="3"/>
      <c r="X54" s="3"/>
      <c r="Y54" s="3"/>
      <c r="Z54" s="3"/>
      <c r="AA54" s="3"/>
      <c r="AB54" s="3"/>
      <c r="AC54" s="3"/>
    </row>
    <row r="55" spans="1:29" ht="11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1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1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1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1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1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1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30" ht="11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6"/>
      <c r="AD62" s="1"/>
    </row>
    <row r="63" spans="1:30" ht="11.25" customHeight="1">
      <c r="A63" s="1" t="str">
        <f>cosymbol</f>
        <v> NTES</v>
      </c>
      <c r="AB63" s="63" t="str">
        <f>coname</f>
        <v>Narai Thermal engineering Services </v>
      </c>
      <c r="AC63" s="1"/>
      <c r="AD63" s="1"/>
    </row>
    <row r="64" ht="11.25" customHeight="1"/>
    <row r="111" ht="13.5" customHeight="1"/>
    <row r="112" ht="13.5" customHeight="1"/>
  </sheetData>
  <mergeCells count="4">
    <mergeCell ref="X1:AB1"/>
    <mergeCell ref="X2:AB2"/>
    <mergeCell ref="F10:Q11"/>
    <mergeCell ref="A2:T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75"/>
  <sheetViews>
    <sheetView tabSelected="1" view="pageBreakPreview" zoomScaleSheetLayoutView="100" workbookViewId="0" topLeftCell="A1">
      <selection activeCell="AB4" sqref="AB4"/>
    </sheetView>
  </sheetViews>
  <sheetFormatPr defaultColWidth="8.88671875" defaultRowHeight="13.5"/>
  <cols>
    <col min="1" max="36" width="2.3359375" style="2" customWidth="1"/>
    <col min="37" max="63" width="3.77734375" style="2" customWidth="1"/>
    <col min="64" max="16384" width="8.88671875" style="2" customWidth="1"/>
  </cols>
  <sheetData>
    <row r="1" spans="1:34" ht="9.75" customHeight="1">
      <c r="A1" s="33"/>
      <c r="B1" s="95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96" t="s">
        <v>359</v>
      </c>
      <c r="Z1" s="97"/>
      <c r="AA1" s="60"/>
      <c r="AB1" s="97"/>
      <c r="AC1" s="182" t="str">
        <f>docno</f>
        <v>TM - PSY - 100</v>
      </c>
      <c r="AD1" s="145"/>
      <c r="AE1" s="145"/>
      <c r="AF1" s="145"/>
      <c r="AG1" s="145"/>
      <c r="AH1" s="145"/>
    </row>
    <row r="2" spans="1:34" ht="9.75" customHeight="1">
      <c r="A2" s="115" t="str">
        <f>title</f>
        <v>P S Y C H R O M E T R I C S   :     B A S I C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6"/>
      <c r="Y2" s="38" t="s">
        <v>360</v>
      </c>
      <c r="Z2" s="34"/>
      <c r="AA2" s="98"/>
      <c r="AB2" s="34"/>
      <c r="AC2" s="183" t="s">
        <v>361</v>
      </c>
      <c r="AD2" s="119"/>
      <c r="AE2" s="119"/>
      <c r="AF2" s="119"/>
      <c r="AG2" s="119"/>
      <c r="AH2" s="119"/>
    </row>
    <row r="3" spans="1:34" ht="9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  <c r="Y3" s="99" t="s">
        <v>362</v>
      </c>
      <c r="Z3" s="100"/>
      <c r="AA3" s="100"/>
      <c r="AB3" s="100"/>
      <c r="AC3" s="66">
        <v>0</v>
      </c>
      <c r="AD3" s="101">
        <v>1</v>
      </c>
      <c r="AE3" s="101"/>
      <c r="AF3" s="101"/>
      <c r="AG3" s="101"/>
      <c r="AH3" s="70"/>
    </row>
    <row r="4" spans="1:34" ht="9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102" t="s">
        <v>363</v>
      </c>
      <c r="Z4" s="59"/>
      <c r="AA4" s="61"/>
      <c r="AB4" s="59"/>
      <c r="AC4" s="103"/>
      <c r="AD4" s="64">
        <v>1</v>
      </c>
      <c r="AE4" s="184" t="s">
        <v>364</v>
      </c>
      <c r="AF4" s="184"/>
      <c r="AG4" s="104">
        <v>6</v>
      </c>
      <c r="AH4" s="65"/>
    </row>
    <row r="5" spans="1:34" ht="9.75" customHeight="1">
      <c r="A5" s="6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AH5" s="4"/>
    </row>
    <row r="6" spans="1:34" ht="9.75" customHeight="1">
      <c r="A6" s="6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6"/>
      <c r="N6" s="6"/>
      <c r="O6" s="6"/>
      <c r="P6" s="6"/>
      <c r="Q6" s="6"/>
      <c r="R6" s="6"/>
      <c r="S6" s="6"/>
      <c r="Y6" s="6"/>
      <c r="AH6" s="3"/>
    </row>
    <row r="7" spans="1:33" ht="9.75" customHeight="1">
      <c r="A7" s="6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6"/>
      <c r="N7" s="6"/>
      <c r="O7" s="6"/>
      <c r="P7" s="6"/>
      <c r="Q7" s="6"/>
      <c r="R7" s="6"/>
      <c r="S7" s="6"/>
      <c r="T7" s="6"/>
      <c r="U7" s="6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28" ht="9.75" customHeight="1">
      <c r="A8" s="6"/>
      <c r="B8" s="6"/>
      <c r="C8" s="11" t="s">
        <v>0</v>
      </c>
      <c r="D8" s="14" t="s">
        <v>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</row>
    <row r="9" spans="1:29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AC9" s="3"/>
    </row>
    <row r="10" spans="1:29" ht="9.75" customHeight="1">
      <c r="A10" s="6"/>
      <c r="B10" s="6"/>
      <c r="C10" s="6"/>
      <c r="D10" s="6" t="s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6"/>
      <c r="B11" s="6"/>
      <c r="C11" s="6"/>
      <c r="D11" s="6" t="s">
        <v>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"/>
      <c r="W11" s="3"/>
      <c r="X11" s="3"/>
      <c r="Y11" s="3"/>
      <c r="Z11" s="3"/>
      <c r="AA11" s="3"/>
      <c r="AB11" s="3"/>
      <c r="AC11" s="3"/>
    </row>
    <row r="12" spans="1:29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AC12" s="3"/>
    </row>
    <row r="13" spans="1:29" ht="9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  <c r="AC13" s="3"/>
    </row>
    <row r="14" spans="1:29" ht="9.75" customHeight="1">
      <c r="A14" s="1"/>
      <c r="B14" s="1"/>
      <c r="C14" s="11" t="s">
        <v>1</v>
      </c>
      <c r="D14" s="14" t="s">
        <v>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AC14" s="3"/>
    </row>
    <row r="15" spans="1:29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AC15" s="3"/>
    </row>
    <row r="16" spans="1:29" ht="9.75" customHeight="1">
      <c r="A16" s="1"/>
      <c r="B16" s="1"/>
      <c r="C16" s="1"/>
      <c r="D16" s="106" t="s">
        <v>381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AC16" s="3"/>
    </row>
    <row r="17" spans="1:29" ht="9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3"/>
      <c r="W17" s="3"/>
      <c r="X17" s="3"/>
      <c r="Y17" s="3"/>
      <c r="Z17" s="3"/>
      <c r="AA17" s="3"/>
      <c r="AB17" s="3"/>
      <c r="AC17" s="3"/>
    </row>
    <row r="18" spans="1:29" ht="9.75" customHeight="1">
      <c r="A18" s="1"/>
      <c r="B18" s="1"/>
      <c r="C18" s="1"/>
      <c r="D18" s="1"/>
      <c r="E18" s="8" t="s">
        <v>31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AC18" s="3"/>
    </row>
    <row r="19" spans="1:28" ht="9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3"/>
      <c r="W19" s="3"/>
      <c r="X19" s="3"/>
      <c r="Y19" s="3"/>
      <c r="Z19" s="3"/>
      <c r="AA19" s="3"/>
      <c r="AB19" s="3"/>
    </row>
    <row r="20" spans="1:28" ht="9.75" customHeight="1">
      <c r="A20" s="6"/>
      <c r="B20" s="6"/>
      <c r="C20" s="6"/>
      <c r="D20" s="6"/>
      <c r="E20" s="6"/>
      <c r="F20" s="149" t="s">
        <v>18</v>
      </c>
      <c r="G20" s="150"/>
      <c r="H20" s="150"/>
      <c r="I20" s="151"/>
      <c r="J20" s="158" t="s">
        <v>15</v>
      </c>
      <c r="K20" s="154"/>
      <c r="L20" s="162"/>
      <c r="M20" s="158" t="s">
        <v>16</v>
      </c>
      <c r="N20" s="154"/>
      <c r="O20" s="154"/>
      <c r="P20" s="154" t="s">
        <v>16</v>
      </c>
      <c r="Q20" s="154"/>
      <c r="R20" s="154"/>
      <c r="S20" s="154" t="s">
        <v>14</v>
      </c>
      <c r="T20" s="154"/>
      <c r="U20" s="168"/>
      <c r="V20" s="6"/>
      <c r="W20" s="6"/>
      <c r="X20" s="3"/>
      <c r="Y20" s="3"/>
      <c r="Z20" s="3"/>
      <c r="AA20" s="3"/>
      <c r="AB20" s="3"/>
    </row>
    <row r="21" spans="1:29" ht="9.75" customHeight="1">
      <c r="A21" s="1"/>
      <c r="B21" s="1"/>
      <c r="C21" s="1"/>
      <c r="D21" s="1"/>
      <c r="E21" s="1"/>
      <c r="F21" s="124" t="s">
        <v>10</v>
      </c>
      <c r="G21" s="113"/>
      <c r="H21" s="113"/>
      <c r="I21" s="123"/>
      <c r="J21" s="163">
        <f>fprop("Mole Gas",F21,0,"",0,"","",0,0,-1)</f>
        <v>28.0134</v>
      </c>
      <c r="K21" s="113"/>
      <c r="L21" s="164"/>
      <c r="M21" s="172">
        <v>78.084</v>
      </c>
      <c r="N21" s="173"/>
      <c r="O21" s="173"/>
      <c r="P21" s="155">
        <f>gmconv(F21,F22,F23,F24,"","","","","","",M21,M22,M23,M24,0,0,0,0,0,0,M20,14)</f>
        <v>78.08634259027771</v>
      </c>
      <c r="Q21" s="155"/>
      <c r="R21" s="155"/>
      <c r="S21" s="155">
        <f>gmconv(F21,F22,F23,F24,"","","","","","",M21,M22,M23,M24,0,0,0,0,0,0,M20,15)</f>
        <v>75.52154685203182</v>
      </c>
      <c r="T21" s="155"/>
      <c r="U21" s="169"/>
      <c r="V21" s="1"/>
      <c r="W21" s="1"/>
      <c r="AC21" s="3"/>
    </row>
    <row r="22" spans="1:29" ht="9.75" customHeight="1">
      <c r="A22" s="6"/>
      <c r="B22" s="6"/>
      <c r="C22" s="6"/>
      <c r="D22" s="6"/>
      <c r="E22" s="6"/>
      <c r="F22" s="122" t="s">
        <v>11</v>
      </c>
      <c r="G22" s="110"/>
      <c r="H22" s="110"/>
      <c r="I22" s="121"/>
      <c r="J22" s="165">
        <f>fprop("Mole Gas",F22,0,"",0,"","",0,0,-1)</f>
        <v>31.9988</v>
      </c>
      <c r="K22" s="110"/>
      <c r="L22" s="166"/>
      <c r="M22" s="174">
        <v>20.9476</v>
      </c>
      <c r="N22" s="175"/>
      <c r="O22" s="175"/>
      <c r="P22" s="156">
        <f>gmconv(F21,F22,F23,F24,"","","","","","",M21,M22,M23,M24,0,0,0,0,0,0,M20,24)</f>
        <v>20.948228446853406</v>
      </c>
      <c r="Q22" s="156"/>
      <c r="R22" s="156"/>
      <c r="S22" s="156">
        <f>gmconv(F21,F22,F23,F24,"","","","","","",M21,M22,M23,M24,0,0,0,0,0,0,M20,25)</f>
        <v>23.14253694362346</v>
      </c>
      <c r="T22" s="156"/>
      <c r="U22" s="170"/>
      <c r="V22" s="6"/>
      <c r="W22" s="6"/>
      <c r="X22" s="3"/>
      <c r="Y22" s="3"/>
      <c r="Z22" s="3"/>
      <c r="AA22" s="3"/>
      <c r="AB22" s="3"/>
      <c r="AC22" s="3"/>
    </row>
    <row r="23" spans="1:29" ht="9.75" customHeight="1">
      <c r="A23" s="6"/>
      <c r="B23" s="6"/>
      <c r="C23" s="6"/>
      <c r="D23" s="6"/>
      <c r="E23" s="6"/>
      <c r="F23" s="122" t="s">
        <v>12</v>
      </c>
      <c r="G23" s="110"/>
      <c r="H23" s="110"/>
      <c r="I23" s="121"/>
      <c r="J23" s="165">
        <f>fprop("Mole Gas",F23,0,"",0,"","",0,0,-1)</f>
        <v>39.948</v>
      </c>
      <c r="K23" s="110"/>
      <c r="L23" s="166"/>
      <c r="M23" s="174">
        <v>0.934</v>
      </c>
      <c r="N23" s="175"/>
      <c r="O23" s="175"/>
      <c r="P23" s="156">
        <f>gmconv(F21,F22,F23,F24,"","","","","","",M21,M22,M23,M24,0,0,0,0,0,0,M20,34)</f>
        <v>0.9340280208406253</v>
      </c>
      <c r="Q23" s="156"/>
      <c r="R23" s="156"/>
      <c r="S23" s="156">
        <f>gmconv(F21,F22,F23,F24,"","","","","","",M21,M22,M23,M24,0,0,0,0,0,0,M20,35)</f>
        <v>1.2882048170771443</v>
      </c>
      <c r="T23" s="156"/>
      <c r="U23" s="170"/>
      <c r="V23" s="6"/>
      <c r="W23" s="6"/>
      <c r="X23" s="3"/>
      <c r="Y23" s="3"/>
      <c r="Z23" s="3"/>
      <c r="AA23" s="3"/>
      <c r="AB23" s="3"/>
      <c r="AC23" s="3"/>
    </row>
    <row r="24" spans="1:29" ht="9.75" customHeight="1">
      <c r="A24" s="1"/>
      <c r="B24" s="1"/>
      <c r="C24" s="1"/>
      <c r="D24" s="1"/>
      <c r="E24" s="1"/>
      <c r="F24" s="146" t="s">
        <v>13</v>
      </c>
      <c r="G24" s="147"/>
      <c r="H24" s="147"/>
      <c r="I24" s="148"/>
      <c r="J24" s="152">
        <f>fprop("Mole Gas",F24,0,"",0,"","",0,0,-1)</f>
        <v>44.0098</v>
      </c>
      <c r="K24" s="147"/>
      <c r="L24" s="153"/>
      <c r="M24" s="160">
        <v>0.0314</v>
      </c>
      <c r="N24" s="161"/>
      <c r="O24" s="161"/>
      <c r="P24" s="111">
        <f>gmconv(F21,F22,F23,F24,"","","","","","",M21,M22,M23,M24,0,0,0,0,0,0,M20,44)</f>
        <v>0.031400942028260846</v>
      </c>
      <c r="Q24" s="111"/>
      <c r="R24" s="111"/>
      <c r="S24" s="111">
        <f>gmconv(F21,F22,F23,F24,"","","","","","",M21,M22,M23,M24,0,0,0,0,0,0,M20,45)</f>
        <v>0.04771138726758311</v>
      </c>
      <c r="T24" s="111"/>
      <c r="U24" s="171"/>
      <c r="V24" s="1"/>
      <c r="W24" s="1"/>
      <c r="AC24" s="3"/>
    </row>
    <row r="25" spans="1:29" ht="9.75" customHeight="1">
      <c r="A25" s="6"/>
      <c r="B25" s="6"/>
      <c r="C25" s="6"/>
      <c r="D25" s="6"/>
      <c r="E25" s="6"/>
      <c r="F25" s="149" t="s">
        <v>17</v>
      </c>
      <c r="G25" s="150"/>
      <c r="H25" s="150"/>
      <c r="I25" s="151"/>
      <c r="J25" s="17"/>
      <c r="K25" s="16"/>
      <c r="L25" s="18"/>
      <c r="M25" s="176">
        <f>SUM(M21:O24)</f>
        <v>99.997</v>
      </c>
      <c r="N25" s="177"/>
      <c r="O25" s="177"/>
      <c r="P25" s="112">
        <f>SUM(P21:R24)</f>
        <v>100</v>
      </c>
      <c r="Q25" s="112"/>
      <c r="R25" s="112"/>
      <c r="S25" s="112">
        <f>SUM(S21:U24)</f>
        <v>100</v>
      </c>
      <c r="T25" s="112"/>
      <c r="U25" s="157"/>
      <c r="V25" s="6"/>
      <c r="W25" s="6"/>
      <c r="X25" s="3"/>
      <c r="Y25" s="3"/>
      <c r="Z25" s="3"/>
      <c r="AA25" s="3"/>
      <c r="AB25" s="3"/>
      <c r="AC25" s="3"/>
    </row>
    <row r="26" spans="1:29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AC26" s="3"/>
    </row>
    <row r="27" spans="1:29" ht="9.75" customHeight="1">
      <c r="A27" s="1"/>
      <c r="B27" s="1"/>
      <c r="C27" s="1"/>
      <c r="D27" s="1"/>
      <c r="E27" s="1"/>
      <c r="F27" s="1" t="s">
        <v>19</v>
      </c>
      <c r="G27" s="1"/>
      <c r="H27" s="1"/>
      <c r="I27" s="1"/>
      <c r="J27" s="1"/>
      <c r="K27" s="159">
        <f>gmconv(F21,F22,F23,F24,"","","","","","",M21,M22,M23,M24,0,0,0,0,0,0,M20,-1)</f>
        <v>28.96476622498675</v>
      </c>
      <c r="L27" s="159"/>
      <c r="M27" s="159"/>
      <c r="N27" s="1"/>
      <c r="O27" s="1" t="s">
        <v>20</v>
      </c>
      <c r="P27" s="1"/>
      <c r="Q27" s="1"/>
      <c r="R27" s="159">
        <f>gmconv(F21,F22,F23,F24,"","","","","","",M21,M22,M23,M24,0,0,0,0,0,0,M20,-2)</f>
        <v>1.292272058143867</v>
      </c>
      <c r="S27" s="159"/>
      <c r="T27" s="159"/>
      <c r="U27" s="1" t="s">
        <v>21</v>
      </c>
      <c r="AC27" s="3"/>
    </row>
    <row r="28" spans="1:29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O28" s="1"/>
      <c r="P28" s="1"/>
      <c r="Q28" s="1"/>
      <c r="R28" s="1"/>
      <c r="S28" s="1"/>
      <c r="T28" s="1"/>
      <c r="U28" s="1"/>
      <c r="AC28" s="3"/>
    </row>
    <row r="29" spans="1:29" ht="9.75" customHeight="1">
      <c r="A29" s="6"/>
      <c r="B29" s="6"/>
      <c r="C29" s="6"/>
      <c r="D29" s="6"/>
      <c r="E29" s="19" t="s">
        <v>22</v>
      </c>
      <c r="F29" s="6" t="s">
        <v>23</v>
      </c>
      <c r="G29" s="6"/>
      <c r="H29" s="6"/>
      <c r="I29" s="6"/>
      <c r="J29" s="6"/>
      <c r="K29" s="167">
        <v>28.9645</v>
      </c>
      <c r="L29" s="167"/>
      <c r="M29" s="167"/>
      <c r="N29" s="6"/>
      <c r="O29" s="1"/>
      <c r="P29" s="1"/>
      <c r="Q29" s="1"/>
      <c r="R29" s="1"/>
      <c r="S29" s="1"/>
      <c r="T29" s="1"/>
      <c r="U29" s="1"/>
      <c r="W29" s="3"/>
      <c r="X29" s="3"/>
      <c r="Y29" s="3"/>
      <c r="Z29" s="3"/>
      <c r="AA29" s="3"/>
      <c r="AB29" s="3"/>
      <c r="AC29" s="3"/>
    </row>
    <row r="30" spans="1:29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AC30" s="3"/>
    </row>
    <row r="31" spans="1:29" ht="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3"/>
      <c r="W31" s="3"/>
      <c r="X31" s="3"/>
      <c r="Y31" s="3"/>
      <c r="Z31" s="3"/>
      <c r="AA31" s="3"/>
      <c r="AB31" s="3"/>
      <c r="AC31" s="3"/>
    </row>
    <row r="32" spans="1:29" ht="9.75" customHeight="1">
      <c r="A32" s="1"/>
      <c r="B32" s="1"/>
      <c r="C32" s="1"/>
      <c r="D32" s="1"/>
      <c r="E32" s="8" t="s">
        <v>316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AC32" s="3"/>
    </row>
    <row r="33" spans="1:29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AC33" s="3"/>
    </row>
    <row r="34" spans="1:29" ht="9.75" customHeight="1">
      <c r="A34" s="1"/>
      <c r="B34" s="1"/>
      <c r="C34" s="1"/>
      <c r="D34" s="1"/>
      <c r="E34" s="6"/>
      <c r="F34" s="1" t="s">
        <v>30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" t="s">
        <v>27</v>
      </c>
      <c r="T34" s="23">
        <v>0</v>
      </c>
      <c r="U34" s="20" t="s">
        <v>24</v>
      </c>
      <c r="V34" s="1" t="s">
        <v>28</v>
      </c>
      <c r="W34" s="1" t="s">
        <v>25</v>
      </c>
      <c r="Z34" s="178">
        <v>101.325</v>
      </c>
      <c r="AA34" s="178"/>
      <c r="AB34" s="178"/>
      <c r="AC34" s="2" t="s">
        <v>26</v>
      </c>
    </row>
    <row r="35" spans="1:29" ht="9.75" customHeight="1">
      <c r="A35" s="6"/>
      <c r="B35" s="6"/>
      <c r="C35" s="6"/>
      <c r="D35" s="6"/>
      <c r="E35" s="6"/>
      <c r="F35" s="6" t="s">
        <v>56</v>
      </c>
      <c r="G35" s="167">
        <v>22.41383</v>
      </c>
      <c r="H35" s="167"/>
      <c r="I35" s="167"/>
      <c r="J35" s="6" t="s">
        <v>29</v>
      </c>
      <c r="K35" s="6"/>
      <c r="L35" s="6"/>
      <c r="M35" s="6"/>
      <c r="N35" s="19" t="s">
        <v>22</v>
      </c>
      <c r="O35" s="6" t="str">
        <f>O27</f>
        <v>Density</v>
      </c>
      <c r="P35" s="6"/>
      <c r="Q35" s="6"/>
      <c r="R35" s="179">
        <f>K29/G35</f>
        <v>1.2922601804332414</v>
      </c>
      <c r="S35" s="179"/>
      <c r="T35" s="179"/>
      <c r="U35" s="6" t="str">
        <f>U27</f>
        <v>kg/Nm3</v>
      </c>
      <c r="V35" s="3"/>
      <c r="W35" s="3"/>
      <c r="X35" s="3"/>
      <c r="Y35" s="3"/>
      <c r="Z35" s="178">
        <v>1.033227</v>
      </c>
      <c r="AA35" s="178"/>
      <c r="AB35" s="178"/>
      <c r="AC35" s="2" t="s">
        <v>94</v>
      </c>
    </row>
    <row r="36" spans="1:28" ht="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3"/>
      <c r="W36" s="3"/>
      <c r="X36" s="3"/>
      <c r="Y36" s="3"/>
      <c r="Z36" s="3"/>
      <c r="AA36" s="3"/>
      <c r="AB36" s="3"/>
    </row>
    <row r="37" spans="1:29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29" ht="9.75" customHeight="1">
      <c r="A38" s="6"/>
      <c r="B38" s="6"/>
      <c r="C38" s="6"/>
      <c r="D38" s="53" t="s">
        <v>32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3"/>
      <c r="W38" s="3"/>
      <c r="X38" s="3"/>
      <c r="Y38" s="3"/>
      <c r="Z38" s="3"/>
      <c r="AA38" s="3"/>
      <c r="AB38" s="3"/>
      <c r="AC38" s="3"/>
    </row>
    <row r="39" spans="1:29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3"/>
      <c r="W39" s="3"/>
      <c r="X39" s="3"/>
      <c r="Y39" s="3"/>
      <c r="Z39" s="3"/>
      <c r="AA39" s="3"/>
      <c r="AB39" s="3"/>
      <c r="AC39" s="3"/>
    </row>
    <row r="40" spans="1:29" ht="9.75" customHeight="1">
      <c r="A40" s="1"/>
      <c r="B40" s="1"/>
      <c r="C40" s="1"/>
      <c r="D40" s="1"/>
      <c r="E40" s="1"/>
      <c r="F40" s="1" t="s">
        <v>33</v>
      </c>
      <c r="G40" s="1"/>
      <c r="H40" s="1"/>
      <c r="I40" s="1"/>
      <c r="J40" s="1"/>
      <c r="K40" s="180">
        <f>fprop("Mole Gas","H2O",0,"",0,"","",0,0,-1)</f>
        <v>18.0152</v>
      </c>
      <c r="L40" s="180"/>
      <c r="M40" s="180"/>
      <c r="N40" s="1"/>
      <c r="O40" s="1" t="s">
        <v>34</v>
      </c>
      <c r="P40" s="1"/>
      <c r="Q40" s="1"/>
      <c r="R40" s="181">
        <f>K40/G35</f>
        <v>0.8037537538207437</v>
      </c>
      <c r="S40" s="181"/>
      <c r="T40" s="181"/>
      <c r="U40" s="1" t="s">
        <v>35</v>
      </c>
      <c r="AC40" s="3"/>
    </row>
    <row r="41" spans="1:29" ht="9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3"/>
      <c r="W41" s="3"/>
      <c r="X41" s="3"/>
      <c r="Y41" s="3"/>
      <c r="Z41" s="3"/>
      <c r="AA41" s="3"/>
      <c r="AB41" s="3"/>
      <c r="AC41" s="3"/>
    </row>
    <row r="42" spans="1:28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3"/>
      <c r="W42" s="3"/>
      <c r="X42" s="3"/>
      <c r="Y42" s="3"/>
      <c r="Z42" s="3"/>
      <c r="AA42" s="3"/>
      <c r="AB42" s="3"/>
    </row>
    <row r="43" spans="1:29" ht="9.75" customHeight="1">
      <c r="A43" s="1"/>
      <c r="B43" s="1"/>
      <c r="C43" s="1"/>
      <c r="D43" s="106" t="s">
        <v>36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C43" s="3"/>
    </row>
    <row r="44" spans="1:29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C44" s="3"/>
    </row>
    <row r="45" spans="1:29" ht="9.75" customHeight="1">
      <c r="A45" s="1"/>
      <c r="B45" s="1"/>
      <c r="C45" s="1"/>
      <c r="D45" s="1"/>
      <c r="E45" s="1" t="s">
        <v>37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AC45" s="3"/>
    </row>
    <row r="46" spans="1:29" ht="9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3"/>
      <c r="W46" s="3"/>
      <c r="X46" s="3"/>
      <c r="Y46" s="3"/>
      <c r="Z46" s="3"/>
      <c r="AA46" s="3"/>
      <c r="AB46" s="3"/>
      <c r="AC46" s="3"/>
    </row>
    <row r="47" spans="1:29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AC47" s="3"/>
    </row>
    <row r="48" spans="1:33" ht="9.75" customHeight="1">
      <c r="A48" s="6"/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6"/>
      <c r="N48" s="6"/>
      <c r="O48" s="6"/>
      <c r="P48" s="6"/>
      <c r="Q48" s="6"/>
      <c r="R48" s="6"/>
      <c r="S48" s="6"/>
      <c r="T48" s="6"/>
      <c r="U48" s="6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29" ht="9.75" customHeight="1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1"/>
      <c r="N49" s="1"/>
      <c r="O49" s="1"/>
      <c r="P49" s="1"/>
      <c r="Q49" s="1"/>
      <c r="R49" s="1"/>
      <c r="S49" s="1"/>
      <c r="T49" s="1"/>
      <c r="U49" s="1"/>
      <c r="AC49" s="3"/>
    </row>
    <row r="50" spans="1:29" ht="9.75" customHeight="1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1"/>
      <c r="N50" s="1"/>
      <c r="O50" s="1"/>
      <c r="P50" s="6"/>
      <c r="Q50" s="1"/>
      <c r="R50" s="1"/>
      <c r="S50" s="1"/>
      <c r="T50" s="1"/>
      <c r="U50" s="1"/>
      <c r="AC50" s="3"/>
    </row>
    <row r="51" spans="1:28" ht="9.75" customHeight="1">
      <c r="A51" s="6"/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6"/>
      <c r="N51" s="6"/>
      <c r="O51" s="6"/>
      <c r="P51" s="6"/>
      <c r="Q51" s="6"/>
      <c r="R51" s="6"/>
      <c r="S51" s="6"/>
      <c r="T51" s="6"/>
      <c r="U51" s="6"/>
      <c r="V51" s="3"/>
      <c r="W51" s="3"/>
      <c r="X51" s="3"/>
      <c r="Y51" s="3"/>
      <c r="Z51" s="3"/>
      <c r="AA51" s="3"/>
      <c r="AB51" s="3"/>
    </row>
    <row r="52" spans="1:29" ht="9.75" customHeight="1">
      <c r="A52" s="6"/>
      <c r="B52" s="6"/>
      <c r="C52" s="3"/>
      <c r="D52" s="3"/>
      <c r="E52" s="3"/>
      <c r="F52" s="3"/>
      <c r="G52" s="3"/>
      <c r="H52" s="3"/>
      <c r="I52" s="3"/>
      <c r="J52" s="3"/>
      <c r="K52" s="3"/>
      <c r="L52" s="3"/>
      <c r="M52" s="6"/>
      <c r="N52" s="6"/>
      <c r="O52" s="6"/>
      <c r="P52" s="6"/>
      <c r="Q52" s="6"/>
      <c r="R52" s="6"/>
      <c r="S52" s="6"/>
      <c r="T52" s="6"/>
      <c r="U52" s="6"/>
      <c r="V52" s="3"/>
      <c r="W52" s="3"/>
      <c r="X52" s="3"/>
      <c r="Y52" s="3"/>
      <c r="Z52" s="3"/>
      <c r="AA52" s="3"/>
      <c r="AB52" s="3"/>
      <c r="AC52" s="3"/>
    </row>
    <row r="53" spans="1:28" ht="9.75" customHeight="1">
      <c r="A53" s="6"/>
      <c r="B53" s="6"/>
      <c r="C53" s="3"/>
      <c r="D53" s="3"/>
      <c r="E53" s="3"/>
      <c r="F53" s="3"/>
      <c r="G53" s="3"/>
      <c r="H53" s="3"/>
      <c r="I53" s="3"/>
      <c r="J53" s="3"/>
      <c r="K53" s="3"/>
      <c r="L53" s="3"/>
      <c r="M53" s="6"/>
      <c r="N53" s="6"/>
      <c r="O53" s="6"/>
      <c r="P53" s="6"/>
      <c r="Q53" s="6"/>
      <c r="R53" s="6"/>
      <c r="S53" s="6"/>
      <c r="T53" s="6"/>
      <c r="U53" s="6"/>
      <c r="V53" s="3"/>
      <c r="W53" s="3"/>
      <c r="X53" s="3"/>
      <c r="Y53" s="3"/>
      <c r="Z53" s="3"/>
      <c r="AA53" s="3"/>
      <c r="AB53" s="3"/>
    </row>
    <row r="54" spans="1:29" ht="9.75" customHeight="1">
      <c r="A54" s="6"/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6"/>
      <c r="N54" s="6"/>
      <c r="O54" s="6"/>
      <c r="P54" s="6"/>
      <c r="Q54" s="6"/>
      <c r="R54" s="6"/>
      <c r="S54" s="6"/>
      <c r="T54" s="6"/>
      <c r="U54" s="6"/>
      <c r="V54" s="3"/>
      <c r="W54" s="3"/>
      <c r="X54" s="3"/>
      <c r="Y54" s="3"/>
      <c r="Z54" s="3"/>
      <c r="AA54" s="3"/>
      <c r="AB54" s="3"/>
      <c r="AC54" s="3"/>
    </row>
    <row r="55" spans="1:29" ht="9.75" customHeight="1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1"/>
      <c r="N55" s="1"/>
      <c r="O55" s="1"/>
      <c r="P55" s="1"/>
      <c r="Q55" s="1"/>
      <c r="R55" s="1"/>
      <c r="S55" s="1"/>
      <c r="T55" s="1"/>
      <c r="U55" s="1"/>
      <c r="AC55" s="3"/>
    </row>
    <row r="56" spans="1:29" ht="9.75" customHeight="1">
      <c r="A56" s="6"/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6"/>
      <c r="N56" s="6"/>
      <c r="O56" s="6"/>
      <c r="P56" s="6"/>
      <c r="Q56" s="6"/>
      <c r="R56" s="6"/>
      <c r="S56" s="6"/>
      <c r="T56" s="6"/>
      <c r="U56" s="6"/>
      <c r="V56" s="3"/>
      <c r="W56" s="3"/>
      <c r="X56" s="3"/>
      <c r="Y56" s="3"/>
      <c r="Z56" s="3"/>
      <c r="AA56" s="3"/>
      <c r="AB56" s="3"/>
      <c r="AC56" s="3"/>
    </row>
    <row r="57" spans="1:29" ht="9.75" customHeight="1">
      <c r="A57" s="6"/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  <c r="AC57" s="3"/>
    </row>
    <row r="58" spans="1:29" ht="9.75" customHeight="1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1"/>
      <c r="N58" s="1"/>
      <c r="O58" s="1"/>
      <c r="P58" s="1"/>
      <c r="Q58" s="1"/>
      <c r="R58" s="1"/>
      <c r="S58" s="1"/>
      <c r="T58" s="1"/>
      <c r="U58" s="1"/>
      <c r="AC58" s="3"/>
    </row>
    <row r="59" spans="1:29" ht="9.75" customHeight="1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1"/>
      <c r="N59" s="1"/>
      <c r="O59" s="1"/>
      <c r="P59" s="1"/>
      <c r="Q59" s="1"/>
      <c r="R59" s="1"/>
      <c r="S59" s="1"/>
      <c r="T59" s="1"/>
      <c r="U59" s="1"/>
      <c r="AC59" s="3"/>
    </row>
    <row r="60" spans="1:29" ht="9.75" customHeight="1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1"/>
      <c r="N60" s="1"/>
      <c r="O60" s="1"/>
      <c r="P60" s="1"/>
      <c r="Q60" s="1"/>
      <c r="R60" s="1"/>
      <c r="S60" s="1"/>
      <c r="T60" s="1"/>
      <c r="U60" s="1"/>
      <c r="AC60" s="3"/>
    </row>
    <row r="61" spans="1:29" ht="9.75" customHeight="1">
      <c r="A61" s="6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6"/>
      <c r="N61" s="6"/>
      <c r="O61" s="6"/>
      <c r="P61" s="6"/>
      <c r="Q61" s="6"/>
      <c r="R61" s="6"/>
      <c r="S61" s="6"/>
      <c r="T61" s="6"/>
      <c r="U61" s="6"/>
      <c r="V61" s="3"/>
      <c r="W61" s="3"/>
      <c r="X61" s="3"/>
      <c r="Y61" s="3"/>
      <c r="Z61" s="3"/>
      <c r="AA61" s="3"/>
      <c r="AB61" s="3"/>
      <c r="AC61" s="3"/>
    </row>
    <row r="62" spans="1:29" ht="9.75" customHeight="1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1"/>
      <c r="N62" s="1"/>
      <c r="O62" s="1"/>
      <c r="P62" s="1"/>
      <c r="Q62" s="1"/>
      <c r="R62" s="1"/>
      <c r="S62" s="1"/>
      <c r="T62" s="1"/>
      <c r="U62" s="1"/>
      <c r="AC62" s="3"/>
    </row>
    <row r="63" spans="1:29" ht="9.75" customHeight="1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1"/>
      <c r="N63" s="1"/>
      <c r="O63" s="1"/>
      <c r="P63" s="1"/>
      <c r="Q63" s="1"/>
      <c r="R63" s="1"/>
      <c r="S63" s="1"/>
      <c r="T63" s="1"/>
      <c r="U63" s="1"/>
      <c r="AC63" s="3"/>
    </row>
    <row r="64" spans="1:29" ht="9.75" customHeight="1">
      <c r="A64" s="6"/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6"/>
      <c r="N64" s="6"/>
      <c r="O64" s="6"/>
      <c r="P64" s="6"/>
      <c r="Q64" s="6"/>
      <c r="R64" s="6"/>
      <c r="S64" s="6"/>
      <c r="T64" s="6"/>
      <c r="U64" s="6"/>
      <c r="V64" s="3"/>
      <c r="W64" s="3"/>
      <c r="X64" s="3"/>
      <c r="Y64" s="3"/>
      <c r="Z64" s="3"/>
      <c r="AA64" s="3"/>
      <c r="AB64" s="3"/>
      <c r="AC64" s="3"/>
    </row>
    <row r="65" spans="1:29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AC65" s="3"/>
    </row>
    <row r="66" spans="1:28" ht="9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3"/>
      <c r="W66" s="3"/>
      <c r="X66" s="3"/>
      <c r="Y66" s="3"/>
      <c r="Z66" s="3"/>
      <c r="AA66" s="3"/>
      <c r="AB66" s="3"/>
    </row>
    <row r="67" spans="1:28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3"/>
      <c r="W67" s="3"/>
      <c r="X67" s="3"/>
      <c r="Y67" s="3"/>
      <c r="Z67" s="3"/>
      <c r="AA67" s="3"/>
      <c r="AB67" s="3"/>
    </row>
    <row r="68" spans="1:29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C68" s="3"/>
    </row>
    <row r="69" spans="1:29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3"/>
      <c r="W69" s="3"/>
      <c r="X69" s="3"/>
      <c r="Y69" s="3"/>
      <c r="Z69" s="3"/>
      <c r="AA69" s="3"/>
      <c r="AB69" s="3"/>
      <c r="AC69" s="3"/>
    </row>
    <row r="70" spans="1:29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  <c r="AC70" s="3"/>
    </row>
    <row r="71" spans="1:29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"/>
      <c r="W71" s="3"/>
      <c r="X71" s="3"/>
      <c r="Y71" s="3"/>
      <c r="Z71" s="3"/>
      <c r="AA71" s="3"/>
      <c r="AB71" s="3"/>
      <c r="AC71" s="3"/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2" t="s">
        <v>3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3" t="s">
        <v>4</v>
      </c>
    </row>
    <row r="117" ht="13.5" customHeight="1"/>
    <row r="118" ht="13.5" customHeight="1"/>
  </sheetData>
  <mergeCells count="42">
    <mergeCell ref="AC1:AH1"/>
    <mergeCell ref="A2:X4"/>
    <mergeCell ref="AC2:AH2"/>
    <mergeCell ref="AE4:AF4"/>
    <mergeCell ref="Z34:AB34"/>
    <mergeCell ref="G35:I35"/>
    <mergeCell ref="R35:T35"/>
    <mergeCell ref="K40:M40"/>
    <mergeCell ref="R40:T40"/>
    <mergeCell ref="Z35:AB35"/>
    <mergeCell ref="K29:M29"/>
    <mergeCell ref="S20:U20"/>
    <mergeCell ref="S21:U21"/>
    <mergeCell ref="S22:U22"/>
    <mergeCell ref="S23:U23"/>
    <mergeCell ref="S24:U24"/>
    <mergeCell ref="M21:O21"/>
    <mergeCell ref="M22:O22"/>
    <mergeCell ref="M23:O23"/>
    <mergeCell ref="M25:O25"/>
    <mergeCell ref="S25:U25"/>
    <mergeCell ref="F20:I20"/>
    <mergeCell ref="M20:O20"/>
    <mergeCell ref="K27:M27"/>
    <mergeCell ref="R27:T27"/>
    <mergeCell ref="M24:O24"/>
    <mergeCell ref="J20:L20"/>
    <mergeCell ref="J21:L21"/>
    <mergeCell ref="J22:L22"/>
    <mergeCell ref="J23:L23"/>
    <mergeCell ref="P20:R20"/>
    <mergeCell ref="P21:R21"/>
    <mergeCell ref="P22:R22"/>
    <mergeCell ref="P23:R23"/>
    <mergeCell ref="P24:R24"/>
    <mergeCell ref="P25:R25"/>
    <mergeCell ref="F21:I21"/>
    <mergeCell ref="F22:I22"/>
    <mergeCell ref="F23:I23"/>
    <mergeCell ref="F24:I24"/>
    <mergeCell ref="F25:I25"/>
    <mergeCell ref="J24:L2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H75"/>
  <sheetViews>
    <sheetView view="pageBreakPreview" zoomScaleSheetLayoutView="100" workbookViewId="0" topLeftCell="A1">
      <selection activeCell="AB4" sqref="AB4"/>
    </sheetView>
  </sheetViews>
  <sheetFormatPr defaultColWidth="8.88671875" defaultRowHeight="13.5"/>
  <cols>
    <col min="1" max="36" width="2.3359375" style="2" customWidth="1"/>
    <col min="37" max="63" width="3.77734375" style="2" customWidth="1"/>
    <col min="64" max="16384" width="8.88671875" style="2" customWidth="1"/>
  </cols>
  <sheetData>
    <row r="1" spans="1:34" ht="9.75" customHeight="1">
      <c r="A1" s="33"/>
      <c r="B1" s="95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96" t="s">
        <v>365</v>
      </c>
      <c r="Z1" s="97"/>
      <c r="AA1" s="60"/>
      <c r="AB1" s="97"/>
      <c r="AC1" s="182" t="str">
        <f>docno</f>
        <v>TM - PSY - 100</v>
      </c>
      <c r="AD1" s="145"/>
      <c r="AE1" s="145"/>
      <c r="AF1" s="145"/>
      <c r="AG1" s="145"/>
      <c r="AH1" s="145"/>
    </row>
    <row r="2" spans="1:34" ht="9.75" customHeight="1">
      <c r="A2" s="115" t="str">
        <f>title</f>
        <v>P S Y C H R O M E T R I C S   :     B A S I C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6"/>
      <c r="Y2" s="38" t="s">
        <v>366</v>
      </c>
      <c r="Z2" s="34"/>
      <c r="AA2" s="98"/>
      <c r="AB2" s="34"/>
      <c r="AC2" s="183" t="s">
        <v>367</v>
      </c>
      <c r="AD2" s="119"/>
      <c r="AE2" s="119"/>
      <c r="AF2" s="119"/>
      <c r="AG2" s="119"/>
      <c r="AH2" s="119"/>
    </row>
    <row r="3" spans="1:34" ht="9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  <c r="Y3" s="99" t="s">
        <v>368</v>
      </c>
      <c r="Z3" s="100"/>
      <c r="AA3" s="100"/>
      <c r="AB3" s="100"/>
      <c r="AC3" s="66">
        <v>0</v>
      </c>
      <c r="AD3" s="101">
        <v>1</v>
      </c>
      <c r="AE3" s="101"/>
      <c r="AF3" s="101"/>
      <c r="AG3" s="101"/>
      <c r="AH3" s="70"/>
    </row>
    <row r="4" spans="1:34" ht="9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102" t="s">
        <v>369</v>
      </c>
      <c r="Z4" s="59"/>
      <c r="AA4" s="61"/>
      <c r="AB4" s="59"/>
      <c r="AC4" s="103"/>
      <c r="AD4" s="64">
        <v>2</v>
      </c>
      <c r="AE4" s="184" t="s">
        <v>370</v>
      </c>
      <c r="AF4" s="184"/>
      <c r="AG4" s="78">
        <f>sheetqty</f>
        <v>6</v>
      </c>
      <c r="AH4" s="65"/>
    </row>
    <row r="5" spans="1:34" ht="9.75" customHeight="1">
      <c r="A5" s="6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AH5" s="4"/>
    </row>
    <row r="6" spans="1:34" ht="9.75" customHeight="1">
      <c r="A6" s="6"/>
      <c r="B6" s="1"/>
      <c r="C6" s="6"/>
      <c r="D6" s="6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Y6" s="6"/>
      <c r="AH6" s="3"/>
    </row>
    <row r="7" spans="1:29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AC7" s="3"/>
    </row>
    <row r="8" spans="1:33" ht="9.75" customHeight="1">
      <c r="A8" s="6"/>
      <c r="B8" s="6"/>
      <c r="C8" s="11" t="s">
        <v>38</v>
      </c>
      <c r="D8" s="14" t="s">
        <v>39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29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</row>
    <row r="10" spans="1:33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29" ht="9.75" customHeight="1">
      <c r="A11" s="1"/>
      <c r="B11" s="1"/>
      <c r="C11" s="1"/>
      <c r="D11" s="107" t="s">
        <v>377</v>
      </c>
      <c r="E11" s="1"/>
      <c r="F11" s="1"/>
      <c r="G11" s="1"/>
      <c r="H11" s="22" t="s">
        <v>320</v>
      </c>
      <c r="I11" s="14" t="s">
        <v>378</v>
      </c>
      <c r="J11" s="1"/>
      <c r="K11" s="1"/>
      <c r="L11" s="1"/>
      <c r="M11" s="1"/>
      <c r="N11" s="22" t="s">
        <v>321</v>
      </c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33" ht="9.75" customHeight="1">
      <c r="A13" s="6"/>
      <c r="B13" s="6"/>
      <c r="C13" s="6"/>
      <c r="D13" s="6"/>
      <c r="E13" s="192" t="s">
        <v>322</v>
      </c>
      <c r="F13" s="6"/>
      <c r="G13" s="188" t="s">
        <v>40</v>
      </c>
      <c r="H13" s="181" t="s">
        <v>41</v>
      </c>
      <c r="I13" s="181"/>
      <c r="J13" s="186" t="s">
        <v>40</v>
      </c>
      <c r="K13" s="181" t="s">
        <v>43</v>
      </c>
      <c r="L13" s="181"/>
      <c r="M13" s="181"/>
      <c r="N13" s="181"/>
      <c r="O13" s="181"/>
      <c r="P13" s="181"/>
      <c r="Q13" s="6"/>
      <c r="R13" s="186" t="s">
        <v>40</v>
      </c>
      <c r="S13" s="190" t="s">
        <v>113</v>
      </c>
      <c r="T13" s="190"/>
      <c r="U13" s="190"/>
      <c r="V13" s="3"/>
      <c r="W13" s="186" t="s">
        <v>40</v>
      </c>
      <c r="X13" s="191">
        <f>J28</f>
        <v>0.621975176509175</v>
      </c>
      <c r="Y13" s="191"/>
      <c r="Z13" s="191"/>
      <c r="AA13" s="190" t="s">
        <v>104</v>
      </c>
      <c r="AB13" s="190"/>
      <c r="AC13" s="190"/>
      <c r="AD13" s="3"/>
      <c r="AF13" s="185" t="s">
        <v>185</v>
      </c>
      <c r="AG13" s="185"/>
    </row>
    <row r="14" spans="1:33" ht="9.75" customHeight="1">
      <c r="A14" s="6"/>
      <c r="B14" s="6"/>
      <c r="C14" s="6"/>
      <c r="D14" s="6"/>
      <c r="E14" s="192"/>
      <c r="F14" s="6"/>
      <c r="G14" s="188"/>
      <c r="H14" s="189" t="s">
        <v>42</v>
      </c>
      <c r="I14" s="189"/>
      <c r="J14" s="186"/>
      <c r="K14" s="189" t="s">
        <v>279</v>
      </c>
      <c r="L14" s="189"/>
      <c r="M14" s="189"/>
      <c r="N14" s="189"/>
      <c r="O14" s="189"/>
      <c r="P14" s="189"/>
      <c r="Q14" s="6"/>
      <c r="R14" s="186"/>
      <c r="S14" s="189" t="s">
        <v>114</v>
      </c>
      <c r="T14" s="189"/>
      <c r="U14" s="189"/>
      <c r="V14" s="3"/>
      <c r="W14" s="186"/>
      <c r="X14" s="191"/>
      <c r="Y14" s="191"/>
      <c r="Z14" s="191"/>
      <c r="AA14" s="189" t="s">
        <v>115</v>
      </c>
      <c r="AB14" s="189"/>
      <c r="AC14" s="189"/>
      <c r="AD14" s="3"/>
      <c r="AF14" s="185"/>
      <c r="AG14" s="185"/>
    </row>
    <row r="15" spans="1:29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AC15" s="3"/>
    </row>
    <row r="16" spans="1:29" ht="9.75" customHeight="1">
      <c r="A16" s="1"/>
      <c r="B16" s="1"/>
      <c r="C16" s="1"/>
      <c r="D16" s="108" t="s">
        <v>382</v>
      </c>
      <c r="E16" s="1"/>
      <c r="F16" s="1"/>
      <c r="G16" s="1"/>
      <c r="H16" s="1"/>
      <c r="I16" s="22" t="s">
        <v>320</v>
      </c>
      <c r="J16" s="8" t="s">
        <v>53</v>
      </c>
      <c r="K16" s="1"/>
      <c r="L16" s="1"/>
      <c r="M16" s="1"/>
      <c r="N16" s="1"/>
      <c r="O16" s="1"/>
      <c r="P16" s="1"/>
      <c r="R16" s="1"/>
      <c r="S16" s="1"/>
      <c r="T16" s="1"/>
      <c r="U16" s="1" t="s">
        <v>321</v>
      </c>
      <c r="AC16" s="3"/>
    </row>
    <row r="17" spans="1:29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AC17" s="3"/>
    </row>
    <row r="18" spans="1:33" ht="9.75" customHeight="1">
      <c r="A18" s="6"/>
      <c r="B18" s="6"/>
      <c r="C18" s="6"/>
      <c r="D18" s="6"/>
      <c r="E18" s="193" t="s">
        <v>44</v>
      </c>
      <c r="F18" s="6"/>
      <c r="G18" s="188" t="s">
        <v>40</v>
      </c>
      <c r="H18" s="181" t="s">
        <v>41</v>
      </c>
      <c r="I18" s="181"/>
      <c r="J18" s="181"/>
      <c r="K18" s="186" t="s">
        <v>40</v>
      </c>
      <c r="L18" s="181" t="str">
        <f>K13</f>
        <v>Mass of Water Vapor</v>
      </c>
      <c r="M18" s="181"/>
      <c r="N18" s="181"/>
      <c r="O18" s="181"/>
      <c r="P18" s="181"/>
      <c r="Q18" s="181"/>
      <c r="R18" s="186" t="s">
        <v>40</v>
      </c>
      <c r="S18" s="181" t="s">
        <v>47</v>
      </c>
      <c r="T18" s="181"/>
      <c r="U18" s="181"/>
      <c r="V18" s="181"/>
      <c r="W18" s="181"/>
      <c r="X18" s="186" t="s">
        <v>40</v>
      </c>
      <c r="Y18" s="190" t="str">
        <f>E13</f>
        <v>W</v>
      </c>
      <c r="Z18" s="190"/>
      <c r="AA18" s="190"/>
      <c r="AB18" s="3"/>
      <c r="AC18" s="3"/>
      <c r="AF18" s="185" t="s">
        <v>186</v>
      </c>
      <c r="AG18" s="185"/>
    </row>
    <row r="19" spans="1:33" ht="9.75" customHeight="1">
      <c r="A19" s="1"/>
      <c r="B19" s="1"/>
      <c r="C19" s="1"/>
      <c r="D19" s="1"/>
      <c r="E19" s="193"/>
      <c r="F19" s="6"/>
      <c r="G19" s="188"/>
      <c r="H19" s="189" t="s">
        <v>45</v>
      </c>
      <c r="I19" s="189"/>
      <c r="J19" s="189"/>
      <c r="K19" s="186"/>
      <c r="L19" s="189" t="s">
        <v>46</v>
      </c>
      <c r="M19" s="189"/>
      <c r="N19" s="189"/>
      <c r="O19" s="189"/>
      <c r="P19" s="189"/>
      <c r="Q19" s="189"/>
      <c r="R19" s="186"/>
      <c r="S19" s="189" t="s">
        <v>48</v>
      </c>
      <c r="T19" s="189"/>
      <c r="U19" s="189"/>
      <c r="V19" s="189"/>
      <c r="W19" s="189"/>
      <c r="X19" s="186"/>
      <c r="Y19" s="189" t="str">
        <f>"1  +  "&amp;Y18</f>
        <v>1  +  W</v>
      </c>
      <c r="Z19" s="189"/>
      <c r="AA19" s="189"/>
      <c r="AC19" s="3"/>
      <c r="AF19" s="185"/>
      <c r="AG19" s="185"/>
    </row>
    <row r="20" spans="1:28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3"/>
      <c r="W20" s="3"/>
      <c r="X20" s="3"/>
      <c r="Y20" s="3"/>
      <c r="Z20" s="3"/>
      <c r="AA20" s="3"/>
      <c r="AB20" s="3"/>
    </row>
    <row r="21" spans="1:28" ht="9.75" customHeight="1">
      <c r="A21" s="6"/>
      <c r="B21" s="6"/>
      <c r="C21" s="6"/>
      <c r="D21" s="106" t="s">
        <v>383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3"/>
      <c r="W21" s="3"/>
      <c r="X21" s="3"/>
      <c r="Y21" s="3"/>
      <c r="Z21" s="3"/>
      <c r="AA21" s="3"/>
      <c r="AB21" s="3"/>
    </row>
    <row r="22" spans="1:29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AC22" s="3"/>
    </row>
    <row r="23" spans="1:28" ht="9.75" customHeight="1">
      <c r="A23" s="6"/>
      <c r="B23" s="6"/>
      <c r="C23" s="6"/>
      <c r="D23" s="6"/>
      <c r="E23" s="193" t="s">
        <v>49</v>
      </c>
      <c r="F23" s="6"/>
      <c r="G23" s="188" t="s">
        <v>40</v>
      </c>
      <c r="H23" s="181" t="s">
        <v>127</v>
      </c>
      <c r="I23" s="181"/>
      <c r="J23" s="181"/>
      <c r="K23" s="181"/>
      <c r="L23" s="181"/>
      <c r="M23" s="181"/>
      <c r="N23" s="181"/>
      <c r="O23" s="186" t="s">
        <v>40</v>
      </c>
      <c r="P23" s="181" t="s">
        <v>129</v>
      </c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</row>
    <row r="24" spans="1:28" ht="9.75" customHeight="1">
      <c r="A24" s="6"/>
      <c r="B24" s="6"/>
      <c r="C24" s="6"/>
      <c r="D24" s="6"/>
      <c r="E24" s="193"/>
      <c r="F24" s="6"/>
      <c r="G24" s="188"/>
      <c r="H24" s="189" t="s">
        <v>128</v>
      </c>
      <c r="I24" s="189"/>
      <c r="J24" s="189"/>
      <c r="K24" s="189"/>
      <c r="L24" s="189"/>
      <c r="M24" s="189"/>
      <c r="N24" s="189"/>
      <c r="O24" s="186"/>
      <c r="P24" s="189" t="s">
        <v>130</v>
      </c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</row>
    <row r="25" spans="1:25" ht="9.75" customHeight="1">
      <c r="A25" s="1"/>
      <c r="B25" s="1"/>
      <c r="C25" s="1"/>
      <c r="D25" s="1"/>
      <c r="E25" s="1"/>
      <c r="F25" s="1"/>
      <c r="G25" s="188" t="s">
        <v>40</v>
      </c>
      <c r="H25" s="181" t="s">
        <v>50</v>
      </c>
      <c r="I25" s="181"/>
      <c r="J25" s="181"/>
      <c r="K25" s="181"/>
      <c r="L25" s="181"/>
      <c r="M25" s="181"/>
      <c r="N25" s="181"/>
      <c r="O25" s="186" t="s">
        <v>40</v>
      </c>
      <c r="P25" s="181" t="str">
        <f>E13</f>
        <v>W</v>
      </c>
      <c r="Q25" s="181"/>
      <c r="R25" s="181"/>
      <c r="S25" s="181"/>
      <c r="T25" s="181"/>
      <c r="U25" s="181"/>
      <c r="V25" s="181"/>
      <c r="W25" s="181"/>
      <c r="X25" s="181"/>
      <c r="Y25" s="1"/>
    </row>
    <row r="26" spans="1:32" ht="9.75" customHeight="1">
      <c r="A26" s="6"/>
      <c r="B26" s="6"/>
      <c r="C26" s="6"/>
      <c r="D26" s="6"/>
      <c r="E26" s="6"/>
      <c r="F26" s="6"/>
      <c r="G26" s="188"/>
      <c r="H26" s="189" t="s">
        <v>131</v>
      </c>
      <c r="I26" s="189"/>
      <c r="J26" s="189"/>
      <c r="K26" s="189"/>
      <c r="L26" s="189"/>
      <c r="M26" s="189"/>
      <c r="N26" s="189"/>
      <c r="O26" s="186"/>
      <c r="P26" s="15" t="str">
        <f>P25</f>
        <v>W</v>
      </c>
      <c r="Q26" s="15" t="s">
        <v>51</v>
      </c>
      <c r="R26" s="189">
        <f>mwwv</f>
        <v>18.0152</v>
      </c>
      <c r="S26" s="189"/>
      <c r="T26" s="189"/>
      <c r="U26" s="15" t="s">
        <v>52</v>
      </c>
      <c r="V26" s="189">
        <f>mwda</f>
        <v>28.9645</v>
      </c>
      <c r="W26" s="189"/>
      <c r="X26" s="189"/>
      <c r="Y26" s="6"/>
      <c r="AF26" s="3"/>
    </row>
    <row r="27" spans="1:33" ht="9.75" customHeight="1">
      <c r="A27" s="6"/>
      <c r="B27" s="6"/>
      <c r="C27" s="6"/>
      <c r="D27" s="6"/>
      <c r="E27" s="6"/>
      <c r="F27" s="6"/>
      <c r="G27" s="188" t="s">
        <v>40</v>
      </c>
      <c r="H27" s="190" t="str">
        <f>P25</f>
        <v>W</v>
      </c>
      <c r="I27" s="190"/>
      <c r="J27" s="190"/>
      <c r="K27" s="190"/>
      <c r="L27" s="190"/>
      <c r="M27" s="6"/>
      <c r="N27" s="6"/>
      <c r="O27" s="6"/>
      <c r="P27" s="6"/>
      <c r="Q27" s="6"/>
      <c r="R27" s="6"/>
      <c r="S27" s="6"/>
      <c r="T27" s="6"/>
      <c r="U27" s="6"/>
      <c r="V27" s="3"/>
      <c r="W27" s="3"/>
      <c r="X27" s="3"/>
      <c r="Y27" s="3"/>
      <c r="Z27" s="3"/>
      <c r="AA27" s="3"/>
      <c r="AB27" s="3"/>
      <c r="AF27" s="185" t="s">
        <v>187</v>
      </c>
      <c r="AG27" s="185"/>
    </row>
    <row r="28" spans="1:33" ht="9.75" customHeight="1">
      <c r="A28" s="6"/>
      <c r="B28" s="6"/>
      <c r="C28" s="6"/>
      <c r="D28" s="6"/>
      <c r="E28" s="6"/>
      <c r="F28" s="6"/>
      <c r="G28" s="188"/>
      <c r="H28" s="15" t="str">
        <f>P26</f>
        <v>W</v>
      </c>
      <c r="I28" s="15" t="s">
        <v>51</v>
      </c>
      <c r="J28" s="187">
        <f>R26/V26</f>
        <v>0.621975176509175</v>
      </c>
      <c r="K28" s="187"/>
      <c r="L28" s="187"/>
      <c r="M28" s="6"/>
      <c r="N28" s="6"/>
      <c r="O28" s="6"/>
      <c r="P28" s="6"/>
      <c r="Q28" s="6"/>
      <c r="R28" s="6"/>
      <c r="S28" s="6"/>
      <c r="T28" s="6"/>
      <c r="U28" s="6"/>
      <c r="V28" s="3"/>
      <c r="W28" s="3"/>
      <c r="X28" s="3"/>
      <c r="Y28" s="3"/>
      <c r="Z28" s="3"/>
      <c r="AA28" s="3"/>
      <c r="AB28" s="3"/>
      <c r="AF28" s="185"/>
      <c r="AG28" s="185"/>
    </row>
    <row r="29" spans="1:29" ht="9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3"/>
      <c r="W29" s="3"/>
      <c r="X29" s="3"/>
      <c r="Y29" s="3"/>
      <c r="Z29" s="3"/>
      <c r="AA29" s="3"/>
      <c r="AB29" s="3"/>
      <c r="AC29" s="3"/>
    </row>
    <row r="30" spans="1:29" ht="9.75" customHeight="1">
      <c r="A30" s="6"/>
      <c r="B30" s="6"/>
      <c r="C30" s="6"/>
      <c r="D30" s="53" t="s">
        <v>132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3"/>
      <c r="W30" s="3"/>
      <c r="X30" s="3"/>
      <c r="Y30" s="3"/>
      <c r="Z30" s="3"/>
      <c r="AA30" s="3"/>
      <c r="AB30" s="3"/>
      <c r="AC30" s="3"/>
    </row>
    <row r="31" spans="1:29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C31" s="3"/>
    </row>
    <row r="32" spans="1:33" ht="9.75" customHeight="1">
      <c r="A32" s="6"/>
      <c r="B32" s="6"/>
      <c r="C32" s="6"/>
      <c r="D32" s="6"/>
      <c r="E32" s="193" t="s">
        <v>133</v>
      </c>
      <c r="F32" s="6"/>
      <c r="G32" s="188" t="s">
        <v>99</v>
      </c>
      <c r="H32" s="181" t="s">
        <v>134</v>
      </c>
      <c r="I32" s="181"/>
      <c r="J32" s="181"/>
      <c r="K32" s="181"/>
      <c r="L32" s="181"/>
      <c r="M32" s="181"/>
      <c r="N32" s="181"/>
      <c r="O32" s="3"/>
      <c r="P32" s="3"/>
      <c r="Q32" s="3"/>
      <c r="R32" s="3"/>
      <c r="S32" s="186" t="s">
        <v>40</v>
      </c>
      <c r="T32" s="6"/>
      <c r="U32" s="3"/>
      <c r="W32" s="6"/>
      <c r="X32" s="159">
        <f>mwwv/mwda</f>
        <v>0.621975176509175</v>
      </c>
      <c r="Y32" s="159"/>
      <c r="Z32" s="159"/>
      <c r="AA32" s="21" t="s">
        <v>139</v>
      </c>
      <c r="AB32" s="6"/>
      <c r="AC32" s="3"/>
      <c r="AD32" s="3"/>
      <c r="AF32" s="185" t="s">
        <v>188</v>
      </c>
      <c r="AG32" s="185"/>
    </row>
    <row r="33" spans="1:33" ht="9.75" customHeight="1">
      <c r="A33" s="1"/>
      <c r="B33" s="1"/>
      <c r="C33" s="1"/>
      <c r="D33" s="1"/>
      <c r="E33" s="193"/>
      <c r="F33" s="1"/>
      <c r="G33" s="188"/>
      <c r="H33" s="189" t="s">
        <v>135</v>
      </c>
      <c r="I33" s="189"/>
      <c r="J33" s="189"/>
      <c r="K33" s="189"/>
      <c r="L33" s="189"/>
      <c r="M33" s="189"/>
      <c r="N33" s="189"/>
      <c r="S33" s="186"/>
      <c r="T33" s="25"/>
      <c r="U33" s="15">
        <v>1</v>
      </c>
      <c r="V33" s="9"/>
      <c r="W33" s="15" t="s">
        <v>138</v>
      </c>
      <c r="X33" s="187">
        <f>1-X32</f>
        <v>0.378024823490825</v>
      </c>
      <c r="Y33" s="189"/>
      <c r="Z33" s="189"/>
      <c r="AA33" s="33" t="s">
        <v>49</v>
      </c>
      <c r="AB33" s="9"/>
      <c r="AF33" s="185"/>
      <c r="AG33" s="185"/>
    </row>
    <row r="34" spans="1:29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AC34" s="3"/>
    </row>
    <row r="35" spans="1:33" ht="9.75" customHeight="1">
      <c r="A35" s="1"/>
      <c r="B35" s="1"/>
      <c r="C35" s="1"/>
      <c r="D35" s="1"/>
      <c r="E35" s="193" t="s">
        <v>104</v>
      </c>
      <c r="F35" s="6"/>
      <c r="G35" s="188" t="s">
        <v>99</v>
      </c>
      <c r="H35" s="1"/>
      <c r="I35" s="1"/>
      <c r="J35" s="1"/>
      <c r="K35" s="1"/>
      <c r="L35" s="1"/>
      <c r="M35" s="1"/>
      <c r="N35" s="1"/>
      <c r="O35" s="1"/>
      <c r="P35" s="1"/>
      <c r="Q35" s="1" t="s">
        <v>137</v>
      </c>
      <c r="R35" s="1"/>
      <c r="S35" s="186" t="s">
        <v>40</v>
      </c>
      <c r="T35" s="1"/>
      <c r="U35" s="1"/>
      <c r="AA35" s="31" t="s">
        <v>133</v>
      </c>
      <c r="AC35" s="3"/>
      <c r="AF35" s="185" t="s">
        <v>189</v>
      </c>
      <c r="AG35" s="185"/>
    </row>
    <row r="36" spans="1:33" ht="9.75" customHeight="1">
      <c r="A36" s="1"/>
      <c r="B36" s="1"/>
      <c r="C36" s="1"/>
      <c r="D36" s="1"/>
      <c r="E36" s="193"/>
      <c r="F36" s="1"/>
      <c r="G36" s="188"/>
      <c r="H36" s="189" t="s">
        <v>136</v>
      </c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6"/>
      <c r="T36" s="187">
        <f>mwwv/mwda</f>
        <v>0.621975176509175</v>
      </c>
      <c r="U36" s="187"/>
      <c r="V36" s="187"/>
      <c r="W36" s="15" t="s">
        <v>119</v>
      </c>
      <c r="X36" s="187">
        <f>(mwda-mwwv)/mwda</f>
        <v>0.378024823490825</v>
      </c>
      <c r="Y36" s="187"/>
      <c r="Z36" s="187"/>
      <c r="AA36" s="33" t="s">
        <v>133</v>
      </c>
      <c r="AC36" s="3"/>
      <c r="AF36" s="185"/>
      <c r="AG36" s="185"/>
    </row>
    <row r="37" spans="1:29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29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AC38" s="3"/>
    </row>
    <row r="39" spans="1:29" ht="9.75" customHeight="1">
      <c r="A39" s="1"/>
      <c r="B39" s="1"/>
      <c r="C39" s="11" t="s">
        <v>54</v>
      </c>
      <c r="D39" s="14" t="s">
        <v>55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AC39" s="3"/>
    </row>
    <row r="40" spans="1:29" ht="9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3"/>
      <c r="W40" s="3"/>
      <c r="X40" s="3"/>
      <c r="Y40" s="3"/>
      <c r="Z40" s="3"/>
      <c r="AA40" s="3"/>
      <c r="AB40" s="3"/>
      <c r="AC40" s="3"/>
    </row>
    <row r="41" spans="1:29" ht="9.75" customHeight="1">
      <c r="A41" s="1"/>
      <c r="B41" s="1"/>
      <c r="C41" s="1"/>
      <c r="D41" s="106" t="s">
        <v>384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AC41" s="3"/>
    </row>
    <row r="42" spans="1:28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3"/>
      <c r="W42" s="3"/>
      <c r="X42" s="3"/>
      <c r="Y42" s="3"/>
      <c r="Z42" s="3"/>
      <c r="AA42" s="3"/>
      <c r="AB42" s="3"/>
    </row>
    <row r="43" spans="1:28" ht="9.75" customHeight="1">
      <c r="A43" s="6"/>
      <c r="B43" s="6"/>
      <c r="C43" s="6"/>
      <c r="D43" s="6"/>
      <c r="E43" s="21" t="str">
        <f>E13&amp;"s"</f>
        <v>Ws</v>
      </c>
      <c r="F43" s="6"/>
      <c r="G43" s="6" t="s">
        <v>56</v>
      </c>
      <c r="H43" s="6" t="str">
        <f>D11&amp;" of Saturated Moist Air"</f>
        <v>Humidity Ratio of Saturated Moist Air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3"/>
      <c r="W43" s="3"/>
      <c r="X43" s="3"/>
      <c r="Y43" s="3"/>
      <c r="Z43" s="3"/>
      <c r="AA43" s="3"/>
      <c r="AB43" s="3"/>
    </row>
    <row r="44" spans="1:29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C44" s="3"/>
    </row>
    <row r="45" spans="1:29" ht="9.75" customHeight="1">
      <c r="A45" s="6"/>
      <c r="B45" s="6"/>
      <c r="C45" s="6"/>
      <c r="D45" s="53" t="s">
        <v>57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  <c r="AC45" s="3"/>
    </row>
    <row r="46" spans="1:29" ht="9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3"/>
      <c r="W46" s="3"/>
      <c r="X46" s="3"/>
      <c r="Y46" s="3"/>
      <c r="Z46" s="3"/>
      <c r="AA46" s="3"/>
      <c r="AB46" s="3"/>
      <c r="AC46" s="3"/>
    </row>
    <row r="47" spans="1:29" ht="9.75" customHeight="1">
      <c r="A47" s="1"/>
      <c r="B47" s="1"/>
      <c r="C47" s="1"/>
      <c r="D47" s="1"/>
      <c r="E47" s="194" t="s">
        <v>58</v>
      </c>
      <c r="F47" s="1"/>
      <c r="G47" s="188" t="s">
        <v>40</v>
      </c>
      <c r="H47" s="181" t="str">
        <f>E13</f>
        <v>W</v>
      </c>
      <c r="I47" s="181"/>
      <c r="J47" s="186" t="s">
        <v>40</v>
      </c>
      <c r="K47" s="1" t="str">
        <f>D11&amp;" of Moist Air"</f>
        <v>Humidity Ratio of Moist Air</v>
      </c>
      <c r="L47" s="1"/>
      <c r="M47" s="1"/>
      <c r="N47" s="1"/>
      <c r="O47" s="1"/>
      <c r="P47" s="1"/>
      <c r="Q47" s="1"/>
      <c r="R47" s="1"/>
      <c r="S47" s="1"/>
      <c r="T47" s="1"/>
      <c r="U47" s="1"/>
      <c r="AC47" s="3"/>
    </row>
    <row r="48" spans="1:29" ht="9.75" customHeight="1">
      <c r="A48" s="6"/>
      <c r="B48" s="6"/>
      <c r="C48" s="6"/>
      <c r="D48" s="6"/>
      <c r="E48" s="194"/>
      <c r="F48" s="6"/>
      <c r="G48" s="188"/>
      <c r="H48" s="189" t="str">
        <f>E43</f>
        <v>Ws</v>
      </c>
      <c r="I48" s="189"/>
      <c r="J48" s="186"/>
      <c r="K48" s="25" t="str">
        <f>D11&amp;" of Moist Air saturated at the same Temp. and Press."</f>
        <v>Humidity Ratio of Moist Air saturated at the same Temp. and Press.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3"/>
      <c r="AC48" s="3"/>
    </row>
    <row r="49" spans="1:29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AC49" s="3"/>
    </row>
    <row r="50" spans="1:29" ht="9.75" customHeight="1">
      <c r="A50" s="1"/>
      <c r="B50" s="1"/>
      <c r="C50" s="1"/>
      <c r="D50" s="106" t="s">
        <v>59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AC50" s="3"/>
    </row>
    <row r="51" spans="1:29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AC51" s="3"/>
    </row>
    <row r="52" spans="1:31" ht="9.75" customHeight="1">
      <c r="A52" s="6"/>
      <c r="B52" s="6"/>
      <c r="C52" s="6"/>
      <c r="D52" s="6"/>
      <c r="E52" s="193" t="s">
        <v>60</v>
      </c>
      <c r="F52" s="6"/>
      <c r="G52" s="188" t="s">
        <v>40</v>
      </c>
      <c r="H52" s="190" t="s">
        <v>104</v>
      </c>
      <c r="I52" s="190"/>
      <c r="J52" s="186" t="s">
        <v>40</v>
      </c>
      <c r="K52" s="6" t="s">
        <v>61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3"/>
      <c r="Z52" s="3"/>
      <c r="AA52" s="3"/>
      <c r="AB52" s="3"/>
      <c r="AC52" s="3"/>
      <c r="AD52" s="3"/>
      <c r="AE52" s="3"/>
    </row>
    <row r="53" spans="1:30" ht="9.75" customHeight="1">
      <c r="A53" s="1"/>
      <c r="B53" s="1"/>
      <c r="C53" s="1"/>
      <c r="D53" s="1"/>
      <c r="E53" s="193"/>
      <c r="F53" s="6"/>
      <c r="G53" s="188"/>
      <c r="H53" s="189" t="s">
        <v>112</v>
      </c>
      <c r="I53" s="189"/>
      <c r="J53" s="186"/>
      <c r="K53" s="25" t="s">
        <v>64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28" ht="9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3"/>
      <c r="W54" s="3"/>
      <c r="X54" s="3"/>
      <c r="Y54" s="3"/>
      <c r="Z54" s="3"/>
      <c r="AA54" s="3"/>
      <c r="AB54" s="3"/>
    </row>
    <row r="55" spans="1:28" ht="9.75" customHeight="1">
      <c r="A55" s="6"/>
      <c r="B55" s="6"/>
      <c r="C55" s="6"/>
      <c r="D55" s="53" t="s">
        <v>62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3"/>
      <c r="W55" s="3"/>
      <c r="X55" s="3"/>
      <c r="Y55" s="3"/>
      <c r="Z55" s="3"/>
      <c r="AA55" s="3"/>
      <c r="AB55" s="3"/>
    </row>
    <row r="56" spans="1:29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C56" s="3"/>
    </row>
    <row r="57" spans="1:29" ht="9.75" customHeight="1">
      <c r="A57" s="6"/>
      <c r="B57" s="6"/>
      <c r="C57" s="6"/>
      <c r="D57" s="6"/>
      <c r="E57" s="21" t="s">
        <v>63</v>
      </c>
      <c r="F57" s="6"/>
      <c r="G57" s="6" t="s">
        <v>56</v>
      </c>
      <c r="H57" s="6" t="str">
        <f>"Temperature of Moist Air saturated at the same Pressure, with the same "&amp;D11</f>
        <v>Temperature of Moist Air saturated at the same Pressure, with the same Humidity Ratio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  <c r="AC57" s="3"/>
    </row>
    <row r="58" spans="1:29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3"/>
      <c r="W58" s="3"/>
      <c r="X58" s="3"/>
      <c r="Y58" s="3"/>
      <c r="Z58" s="3"/>
      <c r="AA58" s="3"/>
      <c r="AB58" s="3"/>
      <c r="AC58" s="3"/>
    </row>
    <row r="59" spans="1:29" ht="9.75" customHeight="1">
      <c r="A59" s="1"/>
      <c r="B59" s="1"/>
      <c r="C59" s="1"/>
      <c r="D59" s="1"/>
      <c r="E59" s="1" t="str">
        <f>E43&amp;" ( P, td )"</f>
        <v>Ws ( P, td )</v>
      </c>
      <c r="F59" s="1"/>
      <c r="G59" s="1"/>
      <c r="H59" s="1" t="s">
        <v>56</v>
      </c>
      <c r="I59" s="1" t="str">
        <f>E13</f>
        <v>W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AC59" s="3"/>
    </row>
    <row r="60" spans="1:29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3"/>
      <c r="W60" s="3"/>
      <c r="X60" s="3"/>
      <c r="Y60" s="3"/>
      <c r="Z60" s="3"/>
      <c r="AA60" s="3"/>
      <c r="AB60" s="3"/>
      <c r="AC60" s="3"/>
    </row>
    <row r="61" spans="1:29" ht="9.75" customHeight="1">
      <c r="A61" s="1"/>
      <c r="B61" s="1"/>
      <c r="C61" s="1"/>
      <c r="D61" s="106" t="s">
        <v>65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AC61" s="3"/>
    </row>
    <row r="62" spans="1:29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AC62" s="3"/>
    </row>
    <row r="63" spans="1:29" ht="9.75" customHeight="1">
      <c r="A63" s="1"/>
      <c r="B63" s="1"/>
      <c r="C63" s="1"/>
      <c r="D63" s="1"/>
      <c r="E63" s="8" t="s">
        <v>66</v>
      </c>
      <c r="F63" s="1"/>
      <c r="G63" s="1" t="s">
        <v>56</v>
      </c>
      <c r="H63" s="1" t="s">
        <v>71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AC63" s="3"/>
    </row>
    <row r="64" spans="1:29" ht="9.75" customHeight="1">
      <c r="A64" s="6"/>
      <c r="B64" s="6"/>
      <c r="C64" s="6"/>
      <c r="D64" s="6"/>
      <c r="E64" s="6"/>
      <c r="F64" s="6"/>
      <c r="G64" s="6"/>
      <c r="H64" s="6" t="str">
        <f>D11&amp;" "&amp;E13&amp;", can bring the air to saturation adiabatically at the same temperature t* while the pressure P"</f>
        <v>Humidity Ratio W, can bring the air to saturation adiabatically at the same temperature t* while the pressure P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3"/>
      <c r="W64" s="3"/>
      <c r="X64" s="3"/>
      <c r="Y64" s="3"/>
      <c r="Z64" s="3"/>
      <c r="AA64" s="3"/>
      <c r="AB64" s="3"/>
      <c r="AC64" s="3"/>
    </row>
    <row r="65" spans="1:29" ht="9.75" customHeight="1">
      <c r="A65" s="1"/>
      <c r="B65" s="1"/>
      <c r="C65" s="1"/>
      <c r="D65" s="1"/>
      <c r="E65" s="1"/>
      <c r="F65" s="1"/>
      <c r="G65" s="1"/>
      <c r="H65" s="1" t="s">
        <v>379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AC65" s="3"/>
    </row>
    <row r="66" spans="1:28" ht="9.75" customHeight="1">
      <c r="A66" s="6"/>
      <c r="B66" s="6"/>
      <c r="C66" s="6"/>
      <c r="D66" s="6"/>
      <c r="E66" s="6"/>
      <c r="F66" s="6"/>
      <c r="G66" s="6"/>
      <c r="H66" s="1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3"/>
      <c r="W66" s="3"/>
      <c r="X66" s="3"/>
      <c r="Y66" s="3"/>
      <c r="Z66" s="3"/>
      <c r="AA66" s="3"/>
      <c r="AB66" s="3"/>
    </row>
    <row r="67" spans="1:29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AC67" s="3"/>
    </row>
    <row r="68" spans="1:29" ht="9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3"/>
      <c r="W68" s="3"/>
      <c r="X68" s="3"/>
      <c r="Y68" s="3"/>
      <c r="Z68" s="3"/>
      <c r="AA68" s="3"/>
      <c r="AB68" s="3"/>
      <c r="AC68" s="3"/>
    </row>
    <row r="69" spans="1:29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AC69" s="3"/>
    </row>
    <row r="70" spans="1:29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  <c r="AC70" s="3"/>
    </row>
    <row r="71" spans="1:29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"/>
      <c r="W71" s="3"/>
      <c r="X71" s="3"/>
      <c r="Y71" s="3"/>
      <c r="Z71" s="3"/>
      <c r="AA71" s="3"/>
      <c r="AB71" s="3"/>
      <c r="AC71" s="3"/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9" t="str">
        <f>cosymbol</f>
        <v> NTES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 t="str">
        <f>coname</f>
        <v>Narai Thermal engineering Services </v>
      </c>
    </row>
    <row r="117" ht="13.5" customHeight="1"/>
    <row r="118" ht="13.5" customHeight="1"/>
  </sheetData>
  <mergeCells count="76">
    <mergeCell ref="G27:G28"/>
    <mergeCell ref="E23:E24"/>
    <mergeCell ref="E52:E53"/>
    <mergeCell ref="G52:G53"/>
    <mergeCell ref="E47:E48"/>
    <mergeCell ref="G47:G48"/>
    <mergeCell ref="G23:G24"/>
    <mergeCell ref="E32:E33"/>
    <mergeCell ref="E35:E36"/>
    <mergeCell ref="G35:G36"/>
    <mergeCell ref="J47:J48"/>
    <mergeCell ref="H47:I47"/>
    <mergeCell ref="H48:I48"/>
    <mergeCell ref="H14:I14"/>
    <mergeCell ref="H33:N33"/>
    <mergeCell ref="H32:N32"/>
    <mergeCell ref="E13:E14"/>
    <mergeCell ref="E18:E19"/>
    <mergeCell ref="G18:G19"/>
    <mergeCell ref="G13:G14"/>
    <mergeCell ref="AC1:AH1"/>
    <mergeCell ref="A2:X4"/>
    <mergeCell ref="AC2:AH2"/>
    <mergeCell ref="AE4:AF4"/>
    <mergeCell ref="W13:W14"/>
    <mergeCell ref="H19:J19"/>
    <mergeCell ref="H18:J18"/>
    <mergeCell ref="L19:Q19"/>
    <mergeCell ref="L18:Q18"/>
    <mergeCell ref="H13:I13"/>
    <mergeCell ref="J13:J14"/>
    <mergeCell ref="K13:P13"/>
    <mergeCell ref="K14:P14"/>
    <mergeCell ref="K18:K19"/>
    <mergeCell ref="G25:G26"/>
    <mergeCell ref="H23:N23"/>
    <mergeCell ref="H24:N24"/>
    <mergeCell ref="S14:U14"/>
    <mergeCell ref="P23:AB23"/>
    <mergeCell ref="P24:AB24"/>
    <mergeCell ref="H25:N25"/>
    <mergeCell ref="H26:N26"/>
    <mergeCell ref="V26:X26"/>
    <mergeCell ref="O23:O24"/>
    <mergeCell ref="H52:I52"/>
    <mergeCell ref="H53:I53"/>
    <mergeCell ref="R13:R14"/>
    <mergeCell ref="J28:L28"/>
    <mergeCell ref="H36:R36"/>
    <mergeCell ref="O25:O26"/>
    <mergeCell ref="R26:T26"/>
    <mergeCell ref="S18:W18"/>
    <mergeCell ref="S19:W19"/>
    <mergeCell ref="S13:U13"/>
    <mergeCell ref="AA13:AC13"/>
    <mergeCell ref="AA14:AC14"/>
    <mergeCell ref="X13:Z14"/>
    <mergeCell ref="J52:J53"/>
    <mergeCell ref="P25:X25"/>
    <mergeCell ref="H27:L27"/>
    <mergeCell ref="Y18:AA18"/>
    <mergeCell ref="Y19:AA19"/>
    <mergeCell ref="R18:R19"/>
    <mergeCell ref="X18:X19"/>
    <mergeCell ref="S35:S36"/>
    <mergeCell ref="T36:V36"/>
    <mergeCell ref="X36:Z36"/>
    <mergeCell ref="G32:G33"/>
    <mergeCell ref="S32:S33"/>
    <mergeCell ref="X32:Z32"/>
    <mergeCell ref="X33:Z33"/>
    <mergeCell ref="AF35:AG36"/>
    <mergeCell ref="AF13:AG14"/>
    <mergeCell ref="AF18:AG19"/>
    <mergeCell ref="AF27:AG28"/>
    <mergeCell ref="AF32:AG33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view="pageBreakPreview" zoomScaleSheetLayoutView="100" workbookViewId="0" topLeftCell="A1">
      <selection activeCell="AB4" sqref="AB4"/>
    </sheetView>
  </sheetViews>
  <sheetFormatPr defaultColWidth="8.88671875" defaultRowHeight="13.5"/>
  <cols>
    <col min="1" max="36" width="2.3359375" style="2" customWidth="1"/>
    <col min="37" max="63" width="3.77734375" style="2" customWidth="1"/>
    <col min="64" max="16384" width="8.88671875" style="2" customWidth="1"/>
  </cols>
  <sheetData>
    <row r="1" spans="1:34" ht="9.75" customHeight="1">
      <c r="A1" s="33"/>
      <c r="B1" s="95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96" t="s">
        <v>359</v>
      </c>
      <c r="Z1" s="97"/>
      <c r="AA1" s="60"/>
      <c r="AB1" s="97"/>
      <c r="AC1" s="182" t="str">
        <f>docno</f>
        <v>TM - PSY - 100</v>
      </c>
      <c r="AD1" s="145"/>
      <c r="AE1" s="145"/>
      <c r="AF1" s="145"/>
      <c r="AG1" s="145"/>
      <c r="AH1" s="145"/>
    </row>
    <row r="2" spans="1:34" ht="9.75" customHeight="1">
      <c r="A2" s="115" t="str">
        <f>title</f>
        <v>P S Y C H R O M E T R I C S   :     B A S I C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6"/>
      <c r="Y2" s="38" t="s">
        <v>360</v>
      </c>
      <c r="Z2" s="34"/>
      <c r="AA2" s="98"/>
      <c r="AB2" s="34"/>
      <c r="AC2" s="183" t="s">
        <v>361</v>
      </c>
      <c r="AD2" s="119"/>
      <c r="AE2" s="119"/>
      <c r="AF2" s="119"/>
      <c r="AG2" s="119"/>
      <c r="AH2" s="119"/>
    </row>
    <row r="3" spans="1:34" ht="9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  <c r="Y3" s="99" t="s">
        <v>362</v>
      </c>
      <c r="Z3" s="100"/>
      <c r="AA3" s="100"/>
      <c r="AB3" s="100"/>
      <c r="AC3" s="66">
        <v>0</v>
      </c>
      <c r="AD3" s="101">
        <v>1</v>
      </c>
      <c r="AE3" s="101"/>
      <c r="AF3" s="101"/>
      <c r="AG3" s="101"/>
      <c r="AH3" s="70"/>
    </row>
    <row r="4" spans="1:34" ht="9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102" t="s">
        <v>363</v>
      </c>
      <c r="Z4" s="59"/>
      <c r="AA4" s="61"/>
      <c r="AB4" s="59"/>
      <c r="AC4" s="103"/>
      <c r="AD4" s="64">
        <v>3</v>
      </c>
      <c r="AE4" s="184" t="s">
        <v>364</v>
      </c>
      <c r="AF4" s="184"/>
      <c r="AG4" s="78">
        <f>sheetqty</f>
        <v>6</v>
      </c>
      <c r="AH4" s="65"/>
    </row>
    <row r="5" spans="1:34" ht="9.75" customHeight="1">
      <c r="A5" s="6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AH5" s="4"/>
    </row>
    <row r="6" spans="1:34" ht="9.75" customHeight="1">
      <c r="A6" s="6"/>
      <c r="B6" s="1"/>
      <c r="C6" s="6"/>
      <c r="D6" s="6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Y6" s="6"/>
      <c r="AH6" s="3"/>
    </row>
    <row r="7" spans="1:29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AC7" s="3"/>
    </row>
    <row r="8" spans="1:33" ht="9.75" customHeight="1">
      <c r="A8" s="6"/>
      <c r="B8" s="6"/>
      <c r="C8" s="11" t="s">
        <v>67</v>
      </c>
      <c r="D8" s="14" t="s">
        <v>68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9.75" customHeight="1">
      <c r="A9" s="6"/>
      <c r="B9" s="6"/>
      <c r="C9" s="1"/>
      <c r="D9" s="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29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C10" s="3"/>
    </row>
    <row r="11" spans="1:29" ht="9.75" customHeight="1">
      <c r="A11" s="6"/>
      <c r="B11" s="6"/>
      <c r="C11" s="6"/>
      <c r="D11" s="53" t="s">
        <v>385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"/>
      <c r="W11" s="3"/>
      <c r="X11" s="3"/>
      <c r="Y11" s="3"/>
      <c r="Z11" s="3"/>
      <c r="AA11" s="3"/>
      <c r="AB11" s="3"/>
      <c r="AC11" s="3"/>
    </row>
    <row r="12" spans="1:29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AC12" s="3"/>
    </row>
    <row r="13" spans="1:28" ht="9.75" customHeight="1">
      <c r="A13" s="6"/>
      <c r="B13" s="6"/>
      <c r="C13" s="6"/>
      <c r="D13" s="6"/>
      <c r="E13" s="6" t="s">
        <v>70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</row>
    <row r="14" spans="1:28" ht="9.75" customHeight="1">
      <c r="A14" s="6"/>
      <c r="B14" s="6"/>
      <c r="C14" s="6"/>
      <c r="D14" s="6"/>
      <c r="E14" s="6" t="s">
        <v>72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"/>
      <c r="W14" s="3"/>
      <c r="X14" s="3"/>
      <c r="Y14" s="3"/>
      <c r="Z14" s="3"/>
      <c r="AA14" s="3"/>
      <c r="AB14" s="3"/>
    </row>
    <row r="15" spans="1:29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AC15" s="3"/>
    </row>
    <row r="16" spans="1:29" ht="9.75" customHeight="1">
      <c r="A16" s="6"/>
      <c r="B16" s="6"/>
      <c r="C16" s="6"/>
      <c r="D16" s="6"/>
      <c r="E16" s="3"/>
      <c r="F16" s="21" t="s">
        <v>81</v>
      </c>
      <c r="G16" s="6" t="s">
        <v>74</v>
      </c>
      <c r="H16" s="24" t="s">
        <v>82</v>
      </c>
      <c r="I16" s="22" t="s">
        <v>76</v>
      </c>
      <c r="J16" s="24" t="s">
        <v>83</v>
      </c>
      <c r="K16" s="6"/>
      <c r="L16" s="3"/>
      <c r="M16" s="3"/>
      <c r="N16" s="26" t="s">
        <v>85</v>
      </c>
      <c r="O16" s="6"/>
      <c r="P16" s="6" t="s">
        <v>73</v>
      </c>
      <c r="Q16" s="6"/>
      <c r="R16" s="6" t="s">
        <v>78</v>
      </c>
      <c r="S16" s="6"/>
      <c r="T16" s="6"/>
      <c r="U16" s="6"/>
      <c r="V16" s="6"/>
      <c r="W16" s="6"/>
      <c r="X16" s="3"/>
      <c r="Y16" s="3"/>
      <c r="Z16" s="6"/>
      <c r="AA16" s="3"/>
      <c r="AB16" s="3"/>
      <c r="AC16" s="3"/>
    </row>
    <row r="17" spans="1:29" ht="9.75" customHeight="1">
      <c r="A17" s="6"/>
      <c r="B17" s="6"/>
      <c r="C17" s="6"/>
      <c r="D17" s="6"/>
      <c r="E17" s="3"/>
      <c r="F17" s="6"/>
      <c r="G17" s="6"/>
      <c r="H17" s="6"/>
      <c r="I17" s="6"/>
      <c r="J17" s="6"/>
      <c r="K17" s="6"/>
      <c r="L17" s="3"/>
      <c r="M17" s="3"/>
      <c r="N17" s="6"/>
      <c r="O17" s="6"/>
      <c r="P17" s="6" t="s">
        <v>75</v>
      </c>
      <c r="Q17" s="6"/>
      <c r="R17" s="6" t="s">
        <v>79</v>
      </c>
      <c r="S17" s="6"/>
      <c r="T17" s="6"/>
      <c r="U17" s="6"/>
      <c r="V17" s="6"/>
      <c r="W17" s="6"/>
      <c r="X17" s="3"/>
      <c r="Y17" s="3"/>
      <c r="Z17" s="6"/>
      <c r="AA17" s="3"/>
      <c r="AB17" s="3"/>
      <c r="AC17" s="3"/>
    </row>
    <row r="18" spans="1:29" ht="9.75" customHeight="1">
      <c r="A18" s="1"/>
      <c r="B18" s="1"/>
      <c r="C18" s="1"/>
      <c r="D18" s="1"/>
      <c r="F18" s="1"/>
      <c r="G18" s="1"/>
      <c r="H18" s="1"/>
      <c r="I18" s="1"/>
      <c r="J18" s="1"/>
      <c r="K18" s="1"/>
      <c r="N18" s="1"/>
      <c r="O18" s="1"/>
      <c r="P18" s="1" t="s">
        <v>77</v>
      </c>
      <c r="Q18" s="1"/>
      <c r="R18" s="6" t="s">
        <v>80</v>
      </c>
      <c r="S18" s="1"/>
      <c r="T18" s="1"/>
      <c r="U18" s="1"/>
      <c r="V18" s="1"/>
      <c r="W18" s="1"/>
      <c r="Z18" s="1"/>
      <c r="AC18" s="3"/>
    </row>
    <row r="19" spans="1:29" ht="9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3"/>
      <c r="W19" s="3"/>
      <c r="X19" s="3"/>
      <c r="Y19" s="3"/>
      <c r="Z19" s="3"/>
      <c r="AA19" s="3"/>
      <c r="AB19" s="3"/>
      <c r="AC19" s="3"/>
    </row>
    <row r="20" spans="1:29" ht="9.75" customHeight="1">
      <c r="A20" s="1"/>
      <c r="B20" s="1"/>
      <c r="C20" s="6"/>
      <c r="D20" s="53" t="s">
        <v>69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AC20" s="3"/>
    </row>
    <row r="21" spans="1:29" ht="9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3"/>
      <c r="W21" s="3"/>
      <c r="X21" s="3"/>
      <c r="Y21" s="3"/>
      <c r="Z21" s="3"/>
      <c r="AA21" s="3"/>
      <c r="AB21" s="3"/>
      <c r="AC21" s="3"/>
    </row>
    <row r="22" spans="1:29" ht="9.75" customHeight="1">
      <c r="A22" s="6"/>
      <c r="B22" s="6"/>
      <c r="C22" s="6"/>
      <c r="D22" s="6"/>
      <c r="E22" s="6" t="s">
        <v>84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3"/>
      <c r="W22" s="3"/>
      <c r="X22" s="3"/>
      <c r="Y22" s="3"/>
      <c r="Z22" s="3"/>
      <c r="AA22" s="3"/>
      <c r="AB22" s="3"/>
      <c r="AC22" s="3"/>
    </row>
    <row r="23" spans="1:29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3"/>
      <c r="W23" s="3"/>
      <c r="X23" s="3"/>
      <c r="Y23" s="3"/>
      <c r="Z23" s="3"/>
      <c r="AA23" s="3"/>
      <c r="AB23" s="3"/>
      <c r="AC23" s="3"/>
    </row>
    <row r="24" spans="1:29" ht="9.75" customHeight="1">
      <c r="A24" s="1"/>
      <c r="B24" s="1"/>
      <c r="C24" s="1"/>
      <c r="D24" s="1"/>
      <c r="E24" s="1"/>
      <c r="F24" s="8" t="s">
        <v>98</v>
      </c>
      <c r="G24" s="1"/>
      <c r="H24" s="1"/>
      <c r="I24" s="1"/>
      <c r="J24" s="1"/>
      <c r="K24" s="1"/>
      <c r="L24" s="1" t="s">
        <v>85</v>
      </c>
      <c r="M24" s="1"/>
      <c r="N24" s="1" t="s">
        <v>86</v>
      </c>
      <c r="O24" s="1"/>
      <c r="P24" s="1" t="s">
        <v>90</v>
      </c>
      <c r="Q24" s="1"/>
      <c r="R24" s="1"/>
      <c r="S24" s="1"/>
      <c r="T24" s="1"/>
      <c r="U24" s="1"/>
      <c r="AC24" s="3"/>
    </row>
    <row r="25" spans="1:29" ht="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 t="s">
        <v>87</v>
      </c>
      <c r="O25" s="1"/>
      <c r="P25" s="1" t="s">
        <v>96</v>
      </c>
      <c r="Q25" s="1"/>
      <c r="R25" s="1"/>
      <c r="S25" s="1"/>
      <c r="T25" s="1"/>
      <c r="U25" s="1"/>
      <c r="AC25" s="3"/>
    </row>
    <row r="26" spans="1:32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 t="s">
        <v>88</v>
      </c>
      <c r="O26" s="1"/>
      <c r="P26" s="1" t="s">
        <v>93</v>
      </c>
      <c r="Q26" s="1"/>
      <c r="R26" s="1"/>
      <c r="S26" s="1"/>
      <c r="T26" s="1"/>
      <c r="U26" s="1"/>
      <c r="V26" s="178">
        <v>8314.41</v>
      </c>
      <c r="W26" s="178"/>
      <c r="X26" s="178"/>
      <c r="Y26" s="2" t="s">
        <v>95</v>
      </c>
      <c r="AB26" s="2" t="s">
        <v>56</v>
      </c>
      <c r="AC26" s="197">
        <f>V26/1000/4.1868</f>
        <v>1.9858627113786187</v>
      </c>
      <c r="AD26" s="197"/>
      <c r="AE26" s="197"/>
      <c r="AF26" s="2" t="s">
        <v>184</v>
      </c>
    </row>
    <row r="27" spans="1:29" ht="9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 t="s">
        <v>89</v>
      </c>
      <c r="O27" s="6"/>
      <c r="P27" s="6" t="s">
        <v>91</v>
      </c>
      <c r="Q27" s="6"/>
      <c r="R27" s="6"/>
      <c r="S27" s="6"/>
      <c r="T27" s="6"/>
      <c r="U27" s="6"/>
      <c r="V27" s="3"/>
      <c r="X27" s="3"/>
      <c r="Y27" s="3" t="s">
        <v>92</v>
      </c>
      <c r="Z27" s="3"/>
      <c r="AA27" s="3"/>
      <c r="AB27" s="3"/>
      <c r="AC27" s="3"/>
    </row>
    <row r="28" spans="1:29" ht="9.75" customHeight="1">
      <c r="A28" s="1"/>
      <c r="B28" s="1"/>
      <c r="C28" s="1"/>
      <c r="D28" s="1"/>
      <c r="E28" s="27" t="s">
        <v>97</v>
      </c>
      <c r="F28" s="8" t="s">
        <v>82</v>
      </c>
      <c r="G28" s="1" t="s">
        <v>86</v>
      </c>
      <c r="H28" s="1" t="s">
        <v>99</v>
      </c>
      <c r="I28" s="8" t="s">
        <v>101</v>
      </c>
      <c r="J28" s="1" t="s">
        <v>100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AC28" s="3"/>
    </row>
    <row r="29" spans="1:28" ht="9.75" customHeight="1">
      <c r="A29" s="6"/>
      <c r="B29" s="6"/>
      <c r="C29" s="6"/>
      <c r="D29" s="6"/>
      <c r="E29" s="6"/>
      <c r="F29" s="8" t="s">
        <v>83</v>
      </c>
      <c r="G29" s="6" t="s">
        <v>86</v>
      </c>
      <c r="H29" s="6" t="s">
        <v>99</v>
      </c>
      <c r="I29" s="8" t="s">
        <v>102</v>
      </c>
      <c r="J29" s="6" t="s">
        <v>100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3"/>
      <c r="W29" s="3"/>
      <c r="X29" s="3"/>
      <c r="Y29" s="3"/>
      <c r="Z29" s="3"/>
      <c r="AA29" s="3"/>
      <c r="AB29" s="3"/>
    </row>
    <row r="30" spans="1:28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3"/>
      <c r="W30" s="3"/>
      <c r="X30" s="3"/>
      <c r="Y30" s="3"/>
      <c r="Z30" s="3"/>
      <c r="AA30" s="3"/>
      <c r="AB30" s="3"/>
    </row>
    <row r="31" spans="1:29" ht="9.75" customHeight="1">
      <c r="A31" s="1"/>
      <c r="B31" s="1"/>
      <c r="C31" s="1"/>
      <c r="D31" s="1"/>
      <c r="E31" s="27" t="s">
        <v>97</v>
      </c>
      <c r="F31" s="1" t="s">
        <v>103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C31" s="3"/>
    </row>
    <row r="32" spans="1:29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  <c r="AC32" s="3"/>
    </row>
    <row r="33" spans="1:29" ht="9.75" customHeight="1">
      <c r="A33" s="1"/>
      <c r="B33" s="1"/>
      <c r="C33" s="1"/>
      <c r="D33" s="1"/>
      <c r="E33" s="27" t="s">
        <v>97</v>
      </c>
      <c r="F33" s="8" t="s">
        <v>116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W33" s="8" t="s">
        <v>109</v>
      </c>
      <c r="AC33" s="3"/>
    </row>
    <row r="34" spans="1:29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AC34" s="3"/>
    </row>
    <row r="35" spans="1:33" ht="9.75" customHeight="1">
      <c r="A35" s="1"/>
      <c r="B35" s="1"/>
      <c r="C35" s="1"/>
      <c r="D35" s="1"/>
      <c r="E35" s="1"/>
      <c r="F35" s="1"/>
      <c r="G35" s="193" t="s">
        <v>49</v>
      </c>
      <c r="H35" s="1"/>
      <c r="I35" s="188" t="s">
        <v>99</v>
      </c>
      <c r="J35" s="181" t="s">
        <v>105</v>
      </c>
      <c r="K35" s="181"/>
      <c r="L35" s="181"/>
      <c r="M35" s="186" t="s">
        <v>99</v>
      </c>
      <c r="N35" s="181" t="s">
        <v>107</v>
      </c>
      <c r="O35" s="181"/>
      <c r="P35" s="181"/>
      <c r="Q35" s="186" t="s">
        <v>99</v>
      </c>
      <c r="R35" s="180" t="s">
        <v>82</v>
      </c>
      <c r="S35" s="180"/>
      <c r="T35" s="1"/>
      <c r="U35" s="1"/>
      <c r="W35" s="193" t="s">
        <v>110</v>
      </c>
      <c r="X35" s="1"/>
      <c r="Y35" s="188" t="s">
        <v>99</v>
      </c>
      <c r="Z35" s="180" t="s">
        <v>83</v>
      </c>
      <c r="AA35" s="180"/>
      <c r="AC35" s="3"/>
      <c r="AF35" s="185" t="s">
        <v>190</v>
      </c>
      <c r="AG35" s="185"/>
    </row>
    <row r="36" spans="1:33" ht="9.75" customHeight="1">
      <c r="A36" s="6"/>
      <c r="B36" s="6"/>
      <c r="C36" s="6"/>
      <c r="D36" s="6"/>
      <c r="E36" s="6"/>
      <c r="F36" s="6"/>
      <c r="G36" s="193"/>
      <c r="H36" s="6"/>
      <c r="I36" s="188"/>
      <c r="J36" s="189" t="s">
        <v>106</v>
      </c>
      <c r="K36" s="189"/>
      <c r="L36" s="189"/>
      <c r="M36" s="186"/>
      <c r="N36" s="189" t="s">
        <v>108</v>
      </c>
      <c r="O36" s="189"/>
      <c r="P36" s="189"/>
      <c r="Q36" s="186"/>
      <c r="R36" s="196" t="s">
        <v>111</v>
      </c>
      <c r="S36" s="196"/>
      <c r="T36" s="6"/>
      <c r="U36" s="6"/>
      <c r="V36" s="3"/>
      <c r="W36" s="193"/>
      <c r="X36" s="6"/>
      <c r="Y36" s="188"/>
      <c r="Z36" s="196" t="s">
        <v>111</v>
      </c>
      <c r="AA36" s="196"/>
      <c r="AB36" s="3"/>
      <c r="AC36" s="3"/>
      <c r="AF36" s="185"/>
      <c r="AG36" s="185"/>
    </row>
    <row r="37" spans="1:29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29" ht="9.75" customHeight="1">
      <c r="A38" s="1"/>
      <c r="B38" s="1"/>
      <c r="C38" s="1"/>
      <c r="D38" s="106" t="s">
        <v>59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AC38" s="3"/>
    </row>
    <row r="39" spans="1:29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AC39" s="3"/>
    </row>
    <row r="40" spans="1:33" ht="9.75" customHeight="1">
      <c r="A40" s="6"/>
      <c r="B40" s="6"/>
      <c r="C40" s="6"/>
      <c r="D40" s="6"/>
      <c r="E40" s="193" t="s">
        <v>60</v>
      </c>
      <c r="F40" s="6"/>
      <c r="G40" s="188" t="s">
        <v>40</v>
      </c>
      <c r="H40" s="190" t="s">
        <v>104</v>
      </c>
      <c r="I40" s="190"/>
      <c r="J40" s="188" t="s">
        <v>40</v>
      </c>
      <c r="K40" s="181" t="s">
        <v>245</v>
      </c>
      <c r="L40" s="181"/>
      <c r="M40" s="181"/>
      <c r="N40" s="186" t="s">
        <v>40</v>
      </c>
      <c r="O40" s="181" t="s">
        <v>244</v>
      </c>
      <c r="P40" s="181"/>
      <c r="Q40" s="6"/>
      <c r="R40" s="6"/>
      <c r="S40" s="6"/>
      <c r="T40" s="6"/>
      <c r="U40" s="6"/>
      <c r="V40" s="3"/>
      <c r="W40" s="3"/>
      <c r="X40" s="3"/>
      <c r="Y40" s="3"/>
      <c r="Z40" s="3"/>
      <c r="AA40" s="3"/>
      <c r="AB40" s="3"/>
      <c r="AC40" s="3"/>
      <c r="AF40" s="185" t="s">
        <v>247</v>
      </c>
      <c r="AG40" s="185"/>
    </row>
    <row r="41" spans="1:33" ht="9.75" customHeight="1">
      <c r="A41" s="6"/>
      <c r="B41" s="6"/>
      <c r="C41" s="6"/>
      <c r="D41" s="6"/>
      <c r="E41" s="193"/>
      <c r="F41" s="6"/>
      <c r="G41" s="188"/>
      <c r="H41" s="189" t="s">
        <v>112</v>
      </c>
      <c r="I41" s="189"/>
      <c r="J41" s="188"/>
      <c r="K41" s="189" t="s">
        <v>246</v>
      </c>
      <c r="L41" s="189"/>
      <c r="M41" s="189"/>
      <c r="N41" s="186"/>
      <c r="O41" s="189" t="s">
        <v>243</v>
      </c>
      <c r="P41" s="189"/>
      <c r="Q41" s="6"/>
      <c r="R41" s="6"/>
      <c r="S41" s="6"/>
      <c r="T41" s="6"/>
      <c r="U41" s="6"/>
      <c r="V41" s="3"/>
      <c r="W41" s="3"/>
      <c r="X41" s="3"/>
      <c r="Y41" s="3"/>
      <c r="Z41" s="3"/>
      <c r="AA41" s="3"/>
      <c r="AB41" s="3"/>
      <c r="AC41" s="3"/>
      <c r="AF41" s="185"/>
      <c r="AG41" s="185"/>
    </row>
    <row r="42" spans="1:29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1"/>
      <c r="L42" s="1"/>
      <c r="M42" s="1"/>
      <c r="N42" s="1"/>
      <c r="O42" s="1"/>
      <c r="P42" s="1"/>
      <c r="Q42" s="6"/>
      <c r="R42" s="6"/>
      <c r="S42" s="6"/>
      <c r="T42" s="6"/>
      <c r="U42" s="6"/>
      <c r="V42" s="3"/>
      <c r="W42" s="3"/>
      <c r="X42" s="3"/>
      <c r="Y42" s="3"/>
      <c r="Z42" s="3"/>
      <c r="AA42" s="3"/>
      <c r="AB42" s="3"/>
      <c r="AC42" s="3"/>
    </row>
    <row r="43" spans="1:29" ht="9.75" customHeight="1">
      <c r="A43" s="6"/>
      <c r="B43" s="6"/>
      <c r="C43" s="6"/>
      <c r="D43" s="53" t="s">
        <v>386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3"/>
      <c r="W43" s="3"/>
      <c r="X43" s="3"/>
      <c r="Y43" s="3"/>
      <c r="Z43" s="3"/>
      <c r="AA43" s="3"/>
      <c r="AB43" s="3"/>
      <c r="AC43" s="3"/>
    </row>
    <row r="44" spans="1:29" ht="9.75" customHeight="1">
      <c r="A44" s="1"/>
      <c r="B44" s="1"/>
      <c r="C44" s="1"/>
      <c r="D44" s="1"/>
      <c r="E44" s="6"/>
      <c r="F44" s="6"/>
      <c r="G44" s="6"/>
      <c r="H44" s="6"/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C44" s="3"/>
    </row>
    <row r="45" spans="1:32" ht="9.75" customHeight="1">
      <c r="A45" s="6"/>
      <c r="B45" s="6"/>
      <c r="C45" s="6"/>
      <c r="D45" s="6"/>
      <c r="E45" s="21" t="s">
        <v>260</v>
      </c>
      <c r="F45" s="6"/>
      <c r="G45" s="6"/>
      <c r="H45" s="6" t="s">
        <v>56</v>
      </c>
      <c r="I45" s="6" t="s">
        <v>261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  <c r="AC45" s="3"/>
      <c r="AF45" s="31" t="s">
        <v>262</v>
      </c>
    </row>
    <row r="46" spans="1:29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AC46" s="3"/>
    </row>
    <row r="47" spans="1:28" ht="9.75" customHeight="1">
      <c r="A47" s="6"/>
      <c r="B47" s="6"/>
      <c r="C47" s="6"/>
      <c r="D47" s="106" t="s">
        <v>387</v>
      </c>
      <c r="E47" s="1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3"/>
      <c r="W47" s="3"/>
      <c r="X47" s="3"/>
      <c r="Y47" s="3"/>
      <c r="Z47" s="3"/>
      <c r="AA47" s="3"/>
      <c r="AB47" s="3"/>
    </row>
    <row r="48" spans="1:37" ht="9.75" customHeight="1">
      <c r="A48" s="6"/>
      <c r="B48" s="6"/>
      <c r="C48" s="6"/>
      <c r="D48" s="1"/>
      <c r="E48" s="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3"/>
      <c r="W48" s="3"/>
      <c r="X48" s="3"/>
      <c r="Y48" s="3"/>
      <c r="Z48" s="3"/>
      <c r="AA48" s="3"/>
      <c r="AB48" s="3"/>
      <c r="AK48" s="105" t="str">
        <f>w_name</f>
        <v>Humidity Ratio</v>
      </c>
    </row>
    <row r="49" spans="1:37" ht="9.75" customHeight="1">
      <c r="A49" s="1"/>
      <c r="B49" s="1"/>
      <c r="C49" s="1"/>
      <c r="D49" s="1"/>
      <c r="E49" s="1" t="str">
        <f>"h( td, "&amp;AK49&amp;" )"</f>
        <v>h( td, W )</v>
      </c>
      <c r="F49" s="1"/>
      <c r="G49" s="1"/>
      <c r="H49" s="1" t="s">
        <v>76</v>
      </c>
      <c r="I49" s="1" t="str">
        <f>"(  "&amp;AK49&amp;"s( t* ) - "&amp;AK49&amp;"( td ) )  x hw( t* )"</f>
        <v>(  Ws( t* ) - W( td ) )  x hw( t* )</v>
      </c>
      <c r="J49" s="1"/>
      <c r="K49" s="1"/>
      <c r="L49" s="1"/>
      <c r="M49" s="1"/>
      <c r="N49" s="1"/>
      <c r="O49" s="1"/>
      <c r="P49" s="1"/>
      <c r="Q49" s="1"/>
      <c r="R49" s="1" t="s">
        <v>74</v>
      </c>
      <c r="S49" s="1" t="s">
        <v>267</v>
      </c>
      <c r="T49" s="1"/>
      <c r="U49" s="1"/>
      <c r="AC49" s="3"/>
      <c r="AF49" s="31" t="s">
        <v>276</v>
      </c>
      <c r="AK49" s="31" t="str">
        <f>w_symbol</f>
        <v>W</v>
      </c>
    </row>
    <row r="50" spans="1:29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3"/>
      <c r="W50" s="3"/>
      <c r="X50" s="3"/>
      <c r="Y50" s="3"/>
      <c r="Z50" s="3"/>
      <c r="AA50" s="3"/>
      <c r="AB50" s="3"/>
      <c r="AC50" s="3"/>
    </row>
    <row r="51" spans="1:29" ht="9.75" customHeight="1">
      <c r="A51" s="6"/>
      <c r="B51" s="6"/>
      <c r="C51" s="6"/>
      <c r="D51" s="6"/>
      <c r="E51" s="6"/>
      <c r="F51" s="6" t="s">
        <v>270</v>
      </c>
      <c r="G51" s="6"/>
      <c r="H51" s="6" t="s">
        <v>271</v>
      </c>
      <c r="I51" s="6"/>
      <c r="J51" s="6"/>
      <c r="K51" s="2" t="s">
        <v>380</v>
      </c>
      <c r="R51" s="6"/>
      <c r="S51" s="6"/>
      <c r="T51" s="6"/>
      <c r="U51" s="6"/>
      <c r="V51" s="3"/>
      <c r="W51" s="3"/>
      <c r="X51" s="3"/>
      <c r="Y51" s="3"/>
      <c r="Z51" s="3"/>
      <c r="AA51" s="3"/>
      <c r="AB51" s="3"/>
      <c r="AC51" s="3"/>
    </row>
    <row r="52" spans="1:29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6" t="s">
        <v>272</v>
      </c>
      <c r="L52" s="195">
        <f>4.186/4.1868</f>
        <v>0.999808923282698</v>
      </c>
      <c r="M52" s="195"/>
      <c r="N52" s="51" t="s">
        <v>273</v>
      </c>
      <c r="O52" s="6" t="s">
        <v>274</v>
      </c>
      <c r="P52" s="6"/>
      <c r="Q52" s="6" t="s">
        <v>275</v>
      </c>
      <c r="R52" s="1"/>
      <c r="S52" s="1"/>
      <c r="T52" s="1"/>
      <c r="U52" s="1"/>
      <c r="AC52" s="3"/>
    </row>
    <row r="53" spans="1:29" ht="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3"/>
      <c r="W53" s="3"/>
      <c r="X53" s="3"/>
      <c r="Y53" s="3"/>
      <c r="Z53" s="3"/>
      <c r="AA53" s="3"/>
      <c r="AB53" s="3"/>
      <c r="AC53" s="3"/>
    </row>
    <row r="54" spans="1:29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AC54" s="3"/>
    </row>
    <row r="55" spans="1:29" ht="9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3"/>
      <c r="W55" s="3"/>
      <c r="X55" s="3"/>
      <c r="Y55" s="3"/>
      <c r="Z55" s="3"/>
      <c r="AA55" s="3"/>
      <c r="AB55" s="3"/>
      <c r="AC55" s="3"/>
    </row>
    <row r="56" spans="1:29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C56" s="3"/>
    </row>
    <row r="57" spans="1:28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</row>
    <row r="58" spans="1:28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3"/>
      <c r="W58" s="3"/>
      <c r="X58" s="3"/>
      <c r="Y58" s="3"/>
      <c r="Z58" s="3"/>
      <c r="AA58" s="3"/>
      <c r="AB58" s="3"/>
    </row>
    <row r="59" spans="1:29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AC59" s="3"/>
    </row>
    <row r="60" spans="1:29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AC60" s="3"/>
    </row>
    <row r="61" spans="1:29" ht="9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3"/>
      <c r="W61" s="3"/>
      <c r="X61" s="3"/>
      <c r="Y61" s="3"/>
      <c r="Z61" s="3"/>
      <c r="AA61" s="3"/>
      <c r="AB61" s="3"/>
      <c r="AC61" s="3"/>
    </row>
    <row r="62" spans="1:29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AC62" s="3"/>
    </row>
    <row r="63" spans="1:29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AC63" s="3"/>
    </row>
    <row r="64" spans="1:29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AC64" s="3"/>
    </row>
    <row r="65" spans="1:29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AC65" s="3"/>
    </row>
    <row r="66" spans="1:29" ht="9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3"/>
      <c r="W66" s="3"/>
      <c r="X66" s="3"/>
      <c r="Y66" s="3"/>
      <c r="Z66" s="3"/>
      <c r="AA66" s="3"/>
      <c r="AB66" s="3"/>
      <c r="AC66" s="3"/>
    </row>
    <row r="67" spans="1:29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3"/>
      <c r="W67" s="3"/>
      <c r="X67" s="3"/>
      <c r="Y67" s="3"/>
      <c r="Z67" s="3"/>
      <c r="AA67" s="3"/>
      <c r="AB67" s="3"/>
      <c r="AC67" s="3"/>
    </row>
    <row r="68" spans="1:29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C68" s="3"/>
    </row>
    <row r="69" spans="1:29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3"/>
      <c r="W69" s="3"/>
      <c r="X69" s="3"/>
      <c r="Y69" s="3"/>
      <c r="Z69" s="3"/>
      <c r="AA69" s="3"/>
      <c r="AB69" s="3"/>
      <c r="AC69" s="3"/>
    </row>
    <row r="70" spans="1:29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AC70" s="3"/>
    </row>
    <row r="71" spans="1:29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AC71" s="3"/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9" t="str">
        <f>cosymbol</f>
        <v> NTES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 t="str">
        <f>coname</f>
        <v>Narai Thermal engineering Services </v>
      </c>
    </row>
    <row r="117" ht="13.5" customHeight="1"/>
    <row r="118" ht="13.5" customHeight="1"/>
  </sheetData>
  <mergeCells count="33">
    <mergeCell ref="E40:E41"/>
    <mergeCell ref="G40:G41"/>
    <mergeCell ref="H40:I40"/>
    <mergeCell ref="H41:I41"/>
    <mergeCell ref="J40:J41"/>
    <mergeCell ref="N40:N41"/>
    <mergeCell ref="O40:P40"/>
    <mergeCell ref="O41:P41"/>
    <mergeCell ref="K40:M40"/>
    <mergeCell ref="K41:M41"/>
    <mergeCell ref="AC26:AE26"/>
    <mergeCell ref="V26:X26"/>
    <mergeCell ref="AC1:AH1"/>
    <mergeCell ref="A2:X4"/>
    <mergeCell ref="AC2:AH2"/>
    <mergeCell ref="AE4:AF4"/>
    <mergeCell ref="I35:I36"/>
    <mergeCell ref="G35:G36"/>
    <mergeCell ref="M35:M36"/>
    <mergeCell ref="Q35:Q36"/>
    <mergeCell ref="J35:L35"/>
    <mergeCell ref="J36:L36"/>
    <mergeCell ref="N35:P35"/>
    <mergeCell ref="N36:P36"/>
    <mergeCell ref="L52:M52"/>
    <mergeCell ref="AF35:AG36"/>
    <mergeCell ref="Z35:AA35"/>
    <mergeCell ref="Z36:AA36"/>
    <mergeCell ref="R35:S35"/>
    <mergeCell ref="R36:S36"/>
    <mergeCell ref="W35:W36"/>
    <mergeCell ref="Y35:Y36"/>
    <mergeCell ref="AF40:AG41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K75"/>
  <sheetViews>
    <sheetView view="pageBreakPreview" zoomScaleSheetLayoutView="100" workbookViewId="0" topLeftCell="A1">
      <selection activeCell="AB4" sqref="AB4"/>
    </sheetView>
  </sheetViews>
  <sheetFormatPr defaultColWidth="8.88671875" defaultRowHeight="13.5"/>
  <cols>
    <col min="1" max="36" width="2.3359375" style="2" customWidth="1"/>
    <col min="37" max="63" width="3.77734375" style="2" customWidth="1"/>
    <col min="64" max="16384" width="8.88671875" style="2" customWidth="1"/>
  </cols>
  <sheetData>
    <row r="1" spans="1:34" ht="9.75" customHeight="1">
      <c r="A1" s="33"/>
      <c r="B1" s="95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96" t="s">
        <v>359</v>
      </c>
      <c r="Z1" s="97"/>
      <c r="AA1" s="60"/>
      <c r="AB1" s="97"/>
      <c r="AC1" s="182" t="str">
        <f>docno</f>
        <v>TM - PSY - 100</v>
      </c>
      <c r="AD1" s="145"/>
      <c r="AE1" s="145"/>
      <c r="AF1" s="145"/>
      <c r="AG1" s="145"/>
      <c r="AH1" s="145"/>
    </row>
    <row r="2" spans="1:34" ht="9.75" customHeight="1">
      <c r="A2" s="115" t="str">
        <f>title</f>
        <v>P S Y C H R O M E T R I C S   :     B A S I C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6"/>
      <c r="Y2" s="38" t="s">
        <v>360</v>
      </c>
      <c r="Z2" s="34"/>
      <c r="AA2" s="98"/>
      <c r="AB2" s="34"/>
      <c r="AC2" s="183" t="s">
        <v>361</v>
      </c>
      <c r="AD2" s="119"/>
      <c r="AE2" s="119"/>
      <c r="AF2" s="119"/>
      <c r="AG2" s="119"/>
      <c r="AH2" s="119"/>
    </row>
    <row r="3" spans="1:34" ht="9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  <c r="Y3" s="99" t="s">
        <v>362</v>
      </c>
      <c r="Z3" s="100"/>
      <c r="AA3" s="100"/>
      <c r="AB3" s="100"/>
      <c r="AC3" s="66">
        <v>0</v>
      </c>
      <c r="AD3" s="101">
        <v>1</v>
      </c>
      <c r="AE3" s="101"/>
      <c r="AF3" s="101"/>
      <c r="AG3" s="101"/>
      <c r="AH3" s="70"/>
    </row>
    <row r="4" spans="1:34" ht="9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102" t="s">
        <v>363</v>
      </c>
      <c r="Z4" s="59"/>
      <c r="AA4" s="61"/>
      <c r="AB4" s="59"/>
      <c r="AC4" s="103"/>
      <c r="AD4" s="64">
        <v>4</v>
      </c>
      <c r="AE4" s="184" t="s">
        <v>364</v>
      </c>
      <c r="AF4" s="184"/>
      <c r="AG4" s="78">
        <f>sheetqty</f>
        <v>6</v>
      </c>
      <c r="AH4" s="65"/>
    </row>
    <row r="5" spans="1:34" ht="9.75" customHeight="1">
      <c r="A5" s="6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AH5" s="4"/>
    </row>
    <row r="6" spans="1:34" ht="9.75" customHeight="1">
      <c r="A6" s="6"/>
      <c r="B6" s="1"/>
      <c r="C6" s="6"/>
      <c r="D6" s="6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Y6" s="6"/>
      <c r="AH6" s="3"/>
    </row>
    <row r="7" spans="1:29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3"/>
      <c r="W7" s="3"/>
      <c r="X7" s="3"/>
      <c r="Y7" s="3"/>
      <c r="Z7" s="3"/>
      <c r="AA7" s="3"/>
      <c r="AB7" s="3"/>
      <c r="AC7" s="3"/>
    </row>
    <row r="8" spans="1:33" ht="9.75" customHeight="1">
      <c r="A8" s="6"/>
      <c r="B8" s="6"/>
      <c r="C8" s="11" t="s">
        <v>148</v>
      </c>
      <c r="D8" s="14" t="s">
        <v>149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21" ht="9.75" customHeight="1">
      <c r="A9" s="1"/>
      <c r="B9" s="1"/>
      <c r="C9" s="6"/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8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</row>
    <row r="11" spans="1:29" ht="9.75" customHeight="1">
      <c r="A11" s="1"/>
      <c r="B11" s="1"/>
      <c r="C11" s="1"/>
      <c r="D11" s="106" t="s">
        <v>388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33" ht="9.75" customHeight="1">
      <c r="A13" s="1"/>
      <c r="B13" s="1"/>
      <c r="C13" s="1"/>
      <c r="D13" s="1"/>
      <c r="E13" s="202" t="s">
        <v>150</v>
      </c>
      <c r="F13" s="1"/>
      <c r="G13" s="188" t="s">
        <v>141</v>
      </c>
      <c r="H13" s="181" t="s">
        <v>151</v>
      </c>
      <c r="I13" s="181"/>
      <c r="J13" s="181"/>
      <c r="K13" s="181"/>
      <c r="L13" s="181"/>
      <c r="M13" s="181"/>
      <c r="N13" s="181"/>
      <c r="O13" s="186" t="s">
        <v>141</v>
      </c>
      <c r="P13" s="181" t="s">
        <v>145</v>
      </c>
      <c r="Q13" s="181"/>
      <c r="R13" s="186" t="s">
        <v>141</v>
      </c>
      <c r="S13" s="1"/>
      <c r="T13" s="1" t="s">
        <v>145</v>
      </c>
      <c r="U13" s="1"/>
      <c r="V13" s="186" t="s">
        <v>141</v>
      </c>
      <c r="W13" s="190" t="s">
        <v>146</v>
      </c>
      <c r="X13" s="190"/>
      <c r="Y13" s="190"/>
      <c r="Z13" s="186" t="s">
        <v>141</v>
      </c>
      <c r="AA13" s="201" t="s">
        <v>146</v>
      </c>
      <c r="AB13" s="201"/>
      <c r="AC13" s="201"/>
      <c r="AD13" s="186" t="s">
        <v>141</v>
      </c>
      <c r="AF13" s="190" t="s">
        <v>146</v>
      </c>
      <c r="AG13" s="190"/>
    </row>
    <row r="14" spans="1:37" ht="9.75" customHeight="1">
      <c r="A14" s="6"/>
      <c r="B14" s="6"/>
      <c r="C14" s="6"/>
      <c r="D14" s="6"/>
      <c r="E14" s="202"/>
      <c r="F14" s="6"/>
      <c r="G14" s="188"/>
      <c r="H14" s="189" t="s">
        <v>278</v>
      </c>
      <c r="I14" s="189"/>
      <c r="J14" s="189"/>
      <c r="K14" s="189"/>
      <c r="L14" s="189"/>
      <c r="M14" s="189"/>
      <c r="N14" s="189"/>
      <c r="O14" s="186"/>
      <c r="P14" s="189" t="s">
        <v>152</v>
      </c>
      <c r="Q14" s="189"/>
      <c r="R14" s="186"/>
      <c r="S14" s="189">
        <f>mwda</f>
        <v>28.9645</v>
      </c>
      <c r="T14" s="189"/>
      <c r="U14" s="15" t="s">
        <v>147</v>
      </c>
      <c r="V14" s="186"/>
      <c r="W14" s="189">
        <f>S14</f>
        <v>28.9645</v>
      </c>
      <c r="X14" s="189"/>
      <c r="Y14" s="15" t="s">
        <v>143</v>
      </c>
      <c r="Z14" s="186"/>
      <c r="AA14" s="189">
        <f>W14</f>
        <v>28.9645</v>
      </c>
      <c r="AB14" s="189"/>
      <c r="AC14" s="28" t="s">
        <v>153</v>
      </c>
      <c r="AD14" s="186"/>
      <c r="AE14" s="189">
        <f>AA14</f>
        <v>28.9645</v>
      </c>
      <c r="AF14" s="189"/>
      <c r="AG14" s="200" t="s">
        <v>154</v>
      </c>
      <c r="AH14" s="200"/>
      <c r="AK14" s="105" t="str">
        <f>w_name</f>
        <v>Humidity Ratio</v>
      </c>
    </row>
    <row r="15" spans="1:37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AC15" s="3"/>
      <c r="AK15" s="31" t="str">
        <f>w_symbol</f>
        <v>W</v>
      </c>
    </row>
    <row r="16" spans="1:33" ht="9.75" customHeight="1">
      <c r="A16" s="6"/>
      <c r="B16" s="6"/>
      <c r="C16" s="6"/>
      <c r="D16" s="6"/>
      <c r="E16" s="6"/>
      <c r="F16" s="6"/>
      <c r="G16" s="188" t="s">
        <v>141</v>
      </c>
      <c r="H16" s="29" t="s">
        <v>146</v>
      </c>
      <c r="I16" s="22" t="s">
        <v>155</v>
      </c>
      <c r="J16" s="22" t="s">
        <v>142</v>
      </c>
      <c r="K16" s="180">
        <f>1/(mwwv/mwda)</f>
        <v>1.6077812069807718</v>
      </c>
      <c r="L16" s="180"/>
      <c r="M16" s="30" t="str">
        <f>AK15</f>
        <v>W</v>
      </c>
      <c r="N16" s="22" t="s">
        <v>156</v>
      </c>
      <c r="O16" s="6"/>
      <c r="P16" s="6"/>
      <c r="Q16" s="6"/>
      <c r="R16" s="6"/>
      <c r="S16" s="6"/>
      <c r="T16" s="6"/>
      <c r="U16" s="6"/>
      <c r="V16" s="3"/>
      <c r="W16" s="3"/>
      <c r="X16" s="3"/>
      <c r="Y16" s="3"/>
      <c r="Z16" s="3"/>
      <c r="AA16" s="3"/>
      <c r="AB16" s="3"/>
      <c r="AF16" s="185" t="s">
        <v>191</v>
      </c>
      <c r="AG16" s="185"/>
    </row>
    <row r="17" spans="1:33" ht="9.75" customHeight="1">
      <c r="A17" s="1"/>
      <c r="B17" s="1"/>
      <c r="C17" s="1"/>
      <c r="D17" s="1"/>
      <c r="E17" s="1"/>
      <c r="F17" s="1"/>
      <c r="G17" s="188"/>
      <c r="H17" s="9"/>
      <c r="I17" s="9"/>
      <c r="J17" s="189">
        <f>S14</f>
        <v>28.9645</v>
      </c>
      <c r="K17" s="189"/>
      <c r="L17" s="15" t="s">
        <v>140</v>
      </c>
      <c r="M17" s="9"/>
      <c r="N17" s="9"/>
      <c r="O17" s="1"/>
      <c r="P17" s="1"/>
      <c r="Q17" s="1"/>
      <c r="R17" s="1"/>
      <c r="S17" s="1"/>
      <c r="T17" s="1"/>
      <c r="U17" s="1"/>
      <c r="AC17" s="3"/>
      <c r="AF17" s="185"/>
      <c r="AG17" s="185"/>
    </row>
    <row r="18" spans="1:29" ht="9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3"/>
      <c r="W18" s="3"/>
      <c r="X18" s="3"/>
      <c r="Y18" s="3"/>
      <c r="Z18" s="3"/>
      <c r="AA18" s="3"/>
      <c r="AB18" s="3"/>
      <c r="AC18" s="3"/>
    </row>
    <row r="19" spans="1:29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AC19" s="3"/>
    </row>
    <row r="20" spans="1:29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AC20" s="3"/>
    </row>
    <row r="21" spans="1:29" ht="9.75" customHeight="1">
      <c r="A21" s="6"/>
      <c r="B21" s="6"/>
      <c r="C21" s="6"/>
      <c r="D21" s="53" t="s">
        <v>389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 t="s">
        <v>207</v>
      </c>
      <c r="R21" s="6"/>
      <c r="S21" s="6"/>
      <c r="T21" s="6"/>
      <c r="U21" s="6"/>
      <c r="V21" s="3"/>
      <c r="W21" s="3"/>
      <c r="X21" s="3"/>
      <c r="Y21" s="3"/>
      <c r="Z21" s="3"/>
      <c r="AA21" s="3"/>
      <c r="AB21" s="3"/>
      <c r="AC21" s="3"/>
    </row>
    <row r="22" spans="1:37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AC22" s="3"/>
      <c r="AK22" s="105" t="str">
        <f>w_name</f>
        <v>Humidity Ratio</v>
      </c>
    </row>
    <row r="23" spans="1:37" ht="9.75" customHeight="1">
      <c r="A23" s="6"/>
      <c r="B23" s="6"/>
      <c r="C23" s="6"/>
      <c r="D23" s="6"/>
      <c r="E23" s="21" t="s">
        <v>157</v>
      </c>
      <c r="F23" s="6"/>
      <c r="G23" s="6" t="s">
        <v>141</v>
      </c>
      <c r="H23" s="6" t="s">
        <v>158</v>
      </c>
      <c r="I23" s="6" t="s">
        <v>142</v>
      </c>
      <c r="J23" s="6" t="str">
        <f>AK23</f>
        <v>W</v>
      </c>
      <c r="K23" s="6" t="s">
        <v>268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3"/>
      <c r="W23" s="3"/>
      <c r="X23" s="3"/>
      <c r="Y23" s="3"/>
      <c r="Z23" s="3"/>
      <c r="AA23" s="3"/>
      <c r="AB23" s="3"/>
      <c r="AC23" s="3"/>
      <c r="AK23" s="31" t="str">
        <f>w_symbol</f>
        <v>W</v>
      </c>
    </row>
    <row r="24" spans="1:29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AC24" s="3"/>
    </row>
    <row r="25" spans="1:29" ht="9.75" customHeight="1">
      <c r="A25" s="1"/>
      <c r="B25" s="1"/>
      <c r="C25" s="1"/>
      <c r="D25" s="1"/>
      <c r="E25" s="1"/>
      <c r="F25" s="1"/>
      <c r="G25" s="1" t="s">
        <v>141</v>
      </c>
      <c r="H25" s="180">
        <f>K32</f>
        <v>1.006</v>
      </c>
      <c r="I25" s="180"/>
      <c r="J25" s="8" t="s">
        <v>159</v>
      </c>
      <c r="K25" s="22" t="s">
        <v>142</v>
      </c>
      <c r="L25" s="1" t="str">
        <f>J23</f>
        <v>W</v>
      </c>
      <c r="M25" s="22" t="s">
        <v>160</v>
      </c>
      <c r="N25" s="180">
        <f>K35</f>
        <v>2501</v>
      </c>
      <c r="O25" s="180"/>
      <c r="P25" s="22" t="s">
        <v>142</v>
      </c>
      <c r="Q25" s="180">
        <f>N35</f>
        <v>1.805</v>
      </c>
      <c r="R25" s="180"/>
      <c r="S25" s="21" t="s">
        <v>159</v>
      </c>
      <c r="T25" s="1" t="s">
        <v>156</v>
      </c>
      <c r="U25" s="1" t="s">
        <v>291</v>
      </c>
      <c r="AC25" s="3"/>
    </row>
    <row r="26" spans="1:29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AC26" s="3"/>
    </row>
    <row r="27" spans="1:32" ht="9.75" customHeight="1">
      <c r="A27" s="6"/>
      <c r="B27" s="6"/>
      <c r="C27" s="6"/>
      <c r="D27" s="6"/>
      <c r="E27" s="6"/>
      <c r="F27" s="6"/>
      <c r="G27" s="6" t="s">
        <v>141</v>
      </c>
      <c r="H27" s="199">
        <f>T32</f>
        <v>0.24028</v>
      </c>
      <c r="I27" s="199"/>
      <c r="J27" s="31" t="s">
        <v>159</v>
      </c>
      <c r="K27" s="22" t="s">
        <v>142</v>
      </c>
      <c r="L27" s="1" t="str">
        <f>L25</f>
        <v>W</v>
      </c>
      <c r="M27" s="22" t="s">
        <v>160</v>
      </c>
      <c r="N27" s="199">
        <f>T35</f>
        <v>597.35</v>
      </c>
      <c r="O27" s="199"/>
      <c r="P27" s="7" t="s">
        <v>142</v>
      </c>
      <c r="Q27" s="199">
        <f>X35</f>
        <v>0.43112</v>
      </c>
      <c r="R27" s="199"/>
      <c r="S27" s="32" t="s">
        <v>159</v>
      </c>
      <c r="T27" s="1" t="s">
        <v>156</v>
      </c>
      <c r="U27" s="6" t="s">
        <v>292</v>
      </c>
      <c r="V27" s="3"/>
      <c r="W27" s="3"/>
      <c r="X27" s="3"/>
      <c r="Y27" s="3"/>
      <c r="Z27" s="3"/>
      <c r="AA27" s="3"/>
      <c r="AB27" s="3"/>
      <c r="AF27" s="31" t="s">
        <v>209</v>
      </c>
    </row>
    <row r="28" spans="1:29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AC28" s="3"/>
    </row>
    <row r="29" spans="1:32" ht="9.75" customHeight="1">
      <c r="A29" s="1"/>
      <c r="B29" s="1"/>
      <c r="C29" s="1"/>
      <c r="D29" s="1"/>
      <c r="E29" s="1"/>
      <c r="F29" s="1"/>
      <c r="G29" s="1" t="s">
        <v>141</v>
      </c>
      <c r="H29" s="199">
        <f>H27</f>
        <v>0.24028</v>
      </c>
      <c r="I29" s="199"/>
      <c r="J29" s="31" t="s">
        <v>159</v>
      </c>
      <c r="K29" s="22" t="s">
        <v>142</v>
      </c>
      <c r="L29" s="1" t="str">
        <f>L25</f>
        <v>W</v>
      </c>
      <c r="M29" s="22" t="s">
        <v>161</v>
      </c>
      <c r="N29" s="199"/>
      <c r="O29" s="199"/>
      <c r="P29" s="3"/>
      <c r="Q29" s="199">
        <f>Q27</f>
        <v>0.43112</v>
      </c>
      <c r="R29" s="199"/>
      <c r="S29" s="32" t="s">
        <v>159</v>
      </c>
      <c r="T29" s="1"/>
      <c r="U29" s="6" t="s">
        <v>292</v>
      </c>
      <c r="Y29" s="31" t="s">
        <v>208</v>
      </c>
      <c r="AD29" s="3"/>
      <c r="AF29" s="31" t="s">
        <v>210</v>
      </c>
    </row>
    <row r="30" spans="1:28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3"/>
      <c r="W30" s="3"/>
      <c r="X30" s="3"/>
      <c r="Y30" s="3"/>
      <c r="Z30" s="3"/>
      <c r="AA30" s="3"/>
      <c r="AB30" s="3"/>
    </row>
    <row r="31" spans="1:33" ht="9.75" customHeight="1">
      <c r="A31" s="1"/>
      <c r="B31" s="1"/>
      <c r="C31" s="1"/>
      <c r="D31" s="1"/>
      <c r="E31" s="1"/>
      <c r="F31" s="1" t="s">
        <v>162</v>
      </c>
      <c r="G31" s="1"/>
      <c r="H31" s="1" t="s">
        <v>158</v>
      </c>
      <c r="I31" s="1"/>
      <c r="J31" s="1" t="s">
        <v>141</v>
      </c>
      <c r="K31" s="1" t="s">
        <v>163</v>
      </c>
      <c r="L31" s="1"/>
      <c r="M31" s="1"/>
      <c r="N31" s="1"/>
      <c r="O31" s="1"/>
      <c r="P31" s="1"/>
      <c r="Q31" s="1"/>
      <c r="R31" s="1"/>
      <c r="S31" s="1"/>
      <c r="T31" s="159">
        <f>K32/AD31</f>
        <v>0.24027897200726092</v>
      </c>
      <c r="U31" s="159"/>
      <c r="V31" s="159"/>
      <c r="AA31" s="2" t="s">
        <v>164</v>
      </c>
      <c r="AB31" s="3"/>
      <c r="AC31" s="2" t="s">
        <v>141</v>
      </c>
      <c r="AD31" s="178">
        <v>4.1868</v>
      </c>
      <c r="AE31" s="178"/>
      <c r="AF31" s="2" t="s">
        <v>165</v>
      </c>
      <c r="AG31" s="1"/>
    </row>
    <row r="32" spans="1:33" ht="9.75" customHeight="1">
      <c r="A32" s="1"/>
      <c r="B32" s="1"/>
      <c r="C32" s="1"/>
      <c r="D32" s="1"/>
      <c r="E32" s="1"/>
      <c r="F32" s="1"/>
      <c r="G32" s="1"/>
      <c r="H32" s="1"/>
      <c r="I32" s="1"/>
      <c r="J32" s="1" t="s">
        <v>141</v>
      </c>
      <c r="K32" s="167">
        <v>1.006</v>
      </c>
      <c r="L32" s="167"/>
      <c r="M32" s="8" t="s">
        <v>159</v>
      </c>
      <c r="N32" s="1"/>
      <c r="O32" s="1"/>
      <c r="P32" s="1"/>
      <c r="Q32" s="1" t="s">
        <v>166</v>
      </c>
      <c r="R32" s="1"/>
      <c r="S32" s="22" t="s">
        <v>141</v>
      </c>
      <c r="T32" s="206">
        <v>0.24028</v>
      </c>
      <c r="U32" s="206"/>
      <c r="V32" s="206"/>
      <c r="W32" s="31" t="s">
        <v>159</v>
      </c>
      <c r="AB32" s="2" t="s">
        <v>167</v>
      </c>
      <c r="AC32" s="3"/>
      <c r="AF32" s="31" t="s">
        <v>211</v>
      </c>
      <c r="AG32" s="1"/>
    </row>
    <row r="33" spans="1:29" ht="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3"/>
      <c r="W33" s="3"/>
      <c r="X33" s="3"/>
      <c r="Y33" s="3"/>
      <c r="Z33" s="3"/>
      <c r="AA33" s="3"/>
      <c r="AB33" s="3"/>
      <c r="AC33" s="3"/>
    </row>
    <row r="34" spans="1:33" ht="9.75" customHeight="1">
      <c r="A34" s="1"/>
      <c r="B34" s="1"/>
      <c r="C34" s="1"/>
      <c r="D34" s="1"/>
      <c r="E34" s="1"/>
      <c r="F34" s="1"/>
      <c r="G34" s="1"/>
      <c r="H34" s="1" t="s">
        <v>269</v>
      </c>
      <c r="I34" s="1"/>
      <c r="J34" s="1" t="s">
        <v>141</v>
      </c>
      <c r="K34" s="1" t="s">
        <v>168</v>
      </c>
      <c r="L34" s="1"/>
      <c r="M34" s="1"/>
      <c r="N34" s="1"/>
      <c r="O34" s="1"/>
      <c r="P34" s="1"/>
      <c r="Q34" s="1"/>
      <c r="R34" s="1"/>
      <c r="S34" s="1"/>
      <c r="T34" s="1"/>
      <c r="AC34" s="3"/>
      <c r="AG34" s="1"/>
    </row>
    <row r="35" spans="1:33" ht="9.75" customHeight="1">
      <c r="A35" s="6"/>
      <c r="B35" s="6"/>
      <c r="C35" s="6"/>
      <c r="D35" s="6"/>
      <c r="E35" s="6"/>
      <c r="F35" s="6"/>
      <c r="G35" s="6"/>
      <c r="H35" s="6"/>
      <c r="I35" s="6"/>
      <c r="J35" s="6" t="s">
        <v>141</v>
      </c>
      <c r="K35" s="167">
        <v>2501</v>
      </c>
      <c r="L35" s="167"/>
      <c r="M35" s="22" t="s">
        <v>142</v>
      </c>
      <c r="N35" s="167">
        <v>1.805</v>
      </c>
      <c r="O35" s="167"/>
      <c r="P35" s="21" t="s">
        <v>159</v>
      </c>
      <c r="Q35" s="6" t="s">
        <v>166</v>
      </c>
      <c r="R35" s="6"/>
      <c r="S35" s="22" t="s">
        <v>141</v>
      </c>
      <c r="T35" s="207">
        <v>597.35</v>
      </c>
      <c r="U35" s="207"/>
      <c r="V35" s="207"/>
      <c r="W35" s="7" t="s">
        <v>142</v>
      </c>
      <c r="X35" s="206">
        <v>0.43112</v>
      </c>
      <c r="Y35" s="206"/>
      <c r="Z35" s="206"/>
      <c r="AA35" s="32" t="s">
        <v>159</v>
      </c>
      <c r="AB35" s="2" t="s">
        <v>167</v>
      </c>
      <c r="AC35" s="3"/>
      <c r="AG35" s="6"/>
    </row>
    <row r="36" spans="1:33" ht="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25" t="s">
        <v>169</v>
      </c>
      <c r="L36" s="25"/>
      <c r="M36" s="6"/>
      <c r="N36" s="6"/>
      <c r="O36" s="6"/>
      <c r="P36" s="6"/>
      <c r="Q36" s="6"/>
      <c r="R36" s="6"/>
      <c r="S36" s="6"/>
      <c r="T36" s="203">
        <f>K35/AD31</f>
        <v>597.3535874653674</v>
      </c>
      <c r="U36" s="203"/>
      <c r="V36" s="203"/>
      <c r="W36" s="3"/>
      <c r="X36" s="204">
        <f>N35/AD31</f>
        <v>0.4311168434126302</v>
      </c>
      <c r="Y36" s="204"/>
      <c r="Z36" s="204"/>
      <c r="AA36" s="3"/>
      <c r="AG36" s="6"/>
    </row>
    <row r="37" spans="1:28" ht="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205">
        <f>fprop("Saturated","H2O",0.001,"℃",-1.033227,"kg/cm2.g","Yes",1,1,19)</f>
        <v>597.3373037526292</v>
      </c>
      <c r="U37" s="205"/>
      <c r="V37" s="205"/>
      <c r="W37" s="32" t="s">
        <v>215</v>
      </c>
      <c r="X37" s="3"/>
      <c r="Y37" s="3"/>
      <c r="Z37" s="3"/>
      <c r="AA37" s="3"/>
      <c r="AB37" s="3"/>
    </row>
    <row r="38" spans="1:29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AC38" s="3"/>
    </row>
    <row r="39" spans="1:28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3"/>
      <c r="W39" s="3"/>
      <c r="X39" s="3"/>
      <c r="Y39" s="3"/>
      <c r="Z39" s="3"/>
      <c r="AA39" s="3"/>
      <c r="AB39" s="3"/>
    </row>
    <row r="40" spans="1:29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AC40" s="3"/>
    </row>
    <row r="41" spans="1:29" ht="9.75" customHeight="1">
      <c r="A41" s="6"/>
      <c r="B41" s="6"/>
      <c r="C41" s="6"/>
      <c r="D41" s="53" t="s">
        <v>390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3"/>
      <c r="W41" s="3"/>
      <c r="X41" s="3"/>
      <c r="Y41" s="3"/>
      <c r="Z41" s="3"/>
      <c r="AA41" s="3"/>
      <c r="AB41" s="3"/>
      <c r="AC41" s="3"/>
    </row>
    <row r="42" spans="1:29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3"/>
      <c r="W42" s="3"/>
      <c r="X42" s="3"/>
      <c r="Y42" s="3"/>
      <c r="Z42" s="3"/>
      <c r="AA42" s="3"/>
      <c r="AB42" s="3"/>
      <c r="AC42" s="3"/>
    </row>
    <row r="43" spans="1:29" ht="9.75" customHeight="1">
      <c r="A43" s="1"/>
      <c r="B43" s="1"/>
      <c r="C43" s="1"/>
      <c r="D43" s="1"/>
      <c r="E43" s="8" t="s">
        <v>170</v>
      </c>
      <c r="F43" s="1"/>
      <c r="G43" s="1"/>
      <c r="H43" s="1"/>
      <c r="I43" s="1"/>
      <c r="J43" s="1"/>
      <c r="K43" s="1"/>
      <c r="L43" s="1"/>
      <c r="M43" s="1" t="s">
        <v>313</v>
      </c>
      <c r="N43" s="1"/>
      <c r="O43" s="1"/>
      <c r="P43" s="1">
        <v>0</v>
      </c>
      <c r="Q43" s="22" t="s">
        <v>311</v>
      </c>
      <c r="R43" s="181">
        <v>200</v>
      </c>
      <c r="S43" s="181"/>
      <c r="T43" s="20" t="s">
        <v>312</v>
      </c>
      <c r="U43" s="1"/>
      <c r="AC43" s="3"/>
    </row>
    <row r="44" spans="1:29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C44" s="3"/>
    </row>
    <row r="45" spans="1:32" ht="9.75" customHeight="1">
      <c r="A45" s="6"/>
      <c r="B45" s="6"/>
      <c r="C45" s="6"/>
      <c r="D45" s="6"/>
      <c r="E45" s="6"/>
      <c r="F45" s="21" t="s">
        <v>171</v>
      </c>
      <c r="G45" s="6"/>
      <c r="H45" s="6"/>
      <c r="I45" s="6" t="s">
        <v>141</v>
      </c>
      <c r="J45" s="6" t="s">
        <v>172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  <c r="AC45" s="3"/>
      <c r="AF45" s="31" t="s">
        <v>287</v>
      </c>
    </row>
    <row r="46" spans="1:29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AC46" s="3"/>
    </row>
    <row r="47" spans="1:29" ht="9.75" customHeight="1">
      <c r="A47" s="6"/>
      <c r="B47" s="6"/>
      <c r="C47" s="6"/>
      <c r="D47" s="6"/>
      <c r="E47" s="6"/>
      <c r="F47" s="6"/>
      <c r="G47" s="6"/>
      <c r="H47" s="6"/>
      <c r="I47" s="6" t="s">
        <v>144</v>
      </c>
      <c r="J47" s="6"/>
      <c r="K47" s="6" t="s">
        <v>391</v>
      </c>
      <c r="L47" s="6"/>
      <c r="M47" s="6" t="s">
        <v>394</v>
      </c>
      <c r="N47" s="6"/>
      <c r="O47" s="6"/>
      <c r="P47" s="6"/>
      <c r="Q47" s="6"/>
      <c r="R47" s="6"/>
      <c r="S47" s="6"/>
      <c r="T47" s="6"/>
      <c r="U47" s="6"/>
      <c r="V47" s="3"/>
      <c r="W47" s="3"/>
      <c r="X47" s="3"/>
      <c r="Y47" s="3"/>
      <c r="Z47" s="3"/>
      <c r="AA47" s="3"/>
      <c r="AB47" s="3"/>
      <c r="AC47" s="3"/>
    </row>
    <row r="48" spans="1:29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6" t="s">
        <v>392</v>
      </c>
      <c r="L48" s="6"/>
      <c r="M48" s="6" t="s">
        <v>395</v>
      </c>
      <c r="N48" s="6"/>
      <c r="O48" s="6"/>
      <c r="P48" s="6"/>
      <c r="Q48" s="6"/>
      <c r="R48" s="6"/>
      <c r="S48" s="6" t="s">
        <v>397</v>
      </c>
      <c r="T48" s="1"/>
      <c r="U48" s="1"/>
      <c r="AC48" s="3"/>
    </row>
    <row r="49" spans="1:29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6" t="s">
        <v>393</v>
      </c>
      <c r="L49" s="6"/>
      <c r="M49" s="6" t="s">
        <v>396</v>
      </c>
      <c r="N49" s="6"/>
      <c r="O49" s="6"/>
      <c r="P49" s="6"/>
      <c r="Q49" s="6"/>
      <c r="R49" s="6"/>
      <c r="S49" s="6" t="s">
        <v>398</v>
      </c>
      <c r="T49" s="1"/>
      <c r="U49" s="1"/>
      <c r="AC49" s="3"/>
    </row>
    <row r="50" spans="1:29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6" t="s">
        <v>173</v>
      </c>
      <c r="L50" s="6"/>
      <c r="M50" s="6" t="s">
        <v>141</v>
      </c>
      <c r="N50" s="198">
        <f>-5.8002206*10^3</f>
        <v>-5800.220600000001</v>
      </c>
      <c r="O50" s="198"/>
      <c r="P50" s="198"/>
      <c r="Q50" s="198"/>
      <c r="R50" s="198"/>
      <c r="S50" s="6"/>
      <c r="T50" s="1"/>
      <c r="U50" s="1"/>
      <c r="AC50" s="3"/>
    </row>
    <row r="51" spans="1:29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 t="s">
        <v>122</v>
      </c>
      <c r="L51" s="1"/>
      <c r="M51" s="1" t="s">
        <v>141</v>
      </c>
      <c r="N51" s="198">
        <f>-5.516256*10^0</f>
        <v>-5.516256</v>
      </c>
      <c r="O51" s="198"/>
      <c r="P51" s="198"/>
      <c r="Q51" s="198"/>
      <c r="R51" s="198"/>
      <c r="S51" s="1"/>
      <c r="T51" s="6"/>
      <c r="U51" s="6"/>
      <c r="V51" s="3"/>
      <c r="W51" s="3"/>
      <c r="X51" s="3"/>
      <c r="Y51" s="3"/>
      <c r="Z51" s="3"/>
      <c r="AA51" s="3"/>
      <c r="AB51" s="3"/>
      <c r="AC51" s="3"/>
    </row>
    <row r="52" spans="1:29" ht="9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 t="s">
        <v>123</v>
      </c>
      <c r="L52" s="1"/>
      <c r="M52" s="1" t="s">
        <v>141</v>
      </c>
      <c r="N52" s="198">
        <f>-4.8640239*10^(-2)</f>
        <v>-0.048640239</v>
      </c>
      <c r="O52" s="198"/>
      <c r="P52" s="198"/>
      <c r="Q52" s="198"/>
      <c r="R52" s="198"/>
      <c r="S52" s="1"/>
      <c r="T52" s="6"/>
      <c r="U52" s="6"/>
      <c r="V52" s="3"/>
      <c r="W52" s="3"/>
      <c r="X52" s="3"/>
      <c r="Y52" s="3"/>
      <c r="Z52" s="3"/>
      <c r="AA52" s="3"/>
      <c r="AB52" s="3"/>
      <c r="AC52" s="3"/>
    </row>
    <row r="53" spans="1:29" ht="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 t="s">
        <v>124</v>
      </c>
      <c r="L53" s="1"/>
      <c r="M53" s="1" t="s">
        <v>141</v>
      </c>
      <c r="N53" s="198">
        <f>4.1764768*10^(-5)</f>
        <v>4.1764768E-05</v>
      </c>
      <c r="O53" s="198"/>
      <c r="P53" s="198"/>
      <c r="Q53" s="198"/>
      <c r="R53" s="198"/>
      <c r="S53" s="1"/>
      <c r="T53" s="6"/>
      <c r="U53" s="6"/>
      <c r="V53" s="3"/>
      <c r="W53" s="3"/>
      <c r="X53" s="3"/>
      <c r="Y53" s="3"/>
      <c r="Z53" s="3"/>
      <c r="AA53" s="3"/>
      <c r="AB53" s="3"/>
      <c r="AC53" s="3"/>
    </row>
    <row r="54" spans="1:28" ht="9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 t="s">
        <v>125</v>
      </c>
      <c r="L54" s="6"/>
      <c r="M54" s="6" t="s">
        <v>141</v>
      </c>
      <c r="N54" s="198">
        <f>-1.4452093*10^(-8)</f>
        <v>-1.4452093E-08</v>
      </c>
      <c r="O54" s="198"/>
      <c r="P54" s="198"/>
      <c r="Q54" s="198"/>
      <c r="R54" s="198"/>
      <c r="S54" s="6"/>
      <c r="T54" s="6"/>
      <c r="U54" s="6"/>
      <c r="V54" s="3"/>
      <c r="W54" s="3"/>
      <c r="X54" s="3"/>
      <c r="Y54" s="3"/>
      <c r="Z54" s="3"/>
      <c r="AA54" s="3"/>
      <c r="AB54" s="3"/>
    </row>
    <row r="55" spans="1:28" ht="9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 t="s">
        <v>126</v>
      </c>
      <c r="L55" s="6"/>
      <c r="M55" s="6" t="s">
        <v>141</v>
      </c>
      <c r="N55" s="181">
        <f>6.5459673</f>
        <v>6.5459673</v>
      </c>
      <c r="O55" s="181"/>
      <c r="P55" s="181"/>
      <c r="Q55" s="181"/>
      <c r="R55" s="6"/>
      <c r="S55" s="6"/>
      <c r="T55" s="6"/>
      <c r="U55" s="6"/>
      <c r="V55" s="3"/>
      <c r="W55" s="3"/>
      <c r="X55" s="3"/>
      <c r="Y55" s="3"/>
      <c r="Z55" s="3"/>
      <c r="AA55" s="3"/>
      <c r="AB55" s="3"/>
    </row>
    <row r="56" spans="1:29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C56" s="3"/>
    </row>
    <row r="57" spans="1:29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  <c r="AC57" s="3"/>
    </row>
    <row r="58" spans="1:29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AC58" s="3"/>
    </row>
    <row r="59" spans="1:29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3"/>
      <c r="W59" s="3"/>
      <c r="X59" s="3"/>
      <c r="Y59" s="3"/>
      <c r="Z59" s="3"/>
      <c r="AA59" s="3"/>
      <c r="AB59" s="3"/>
      <c r="AC59" s="3"/>
    </row>
    <row r="60" spans="1:29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AC60" s="3"/>
    </row>
    <row r="61" spans="1:29" ht="9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3"/>
      <c r="W61" s="3"/>
      <c r="X61" s="3"/>
      <c r="Y61" s="3"/>
      <c r="Z61" s="3"/>
      <c r="AA61" s="3"/>
      <c r="AB61" s="3"/>
      <c r="AC61" s="3"/>
    </row>
    <row r="62" spans="1:29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3"/>
      <c r="W62" s="3"/>
      <c r="X62" s="3"/>
      <c r="Y62" s="3"/>
      <c r="Z62" s="3"/>
      <c r="AA62" s="3"/>
      <c r="AB62" s="3"/>
      <c r="AC62" s="3"/>
    </row>
    <row r="63" spans="1:29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3"/>
      <c r="W63" s="3"/>
      <c r="X63" s="3"/>
      <c r="Y63" s="3"/>
      <c r="Z63" s="3"/>
      <c r="AA63" s="3"/>
      <c r="AB63" s="3"/>
      <c r="AC63" s="3"/>
    </row>
    <row r="64" spans="1:29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AC64" s="3"/>
    </row>
    <row r="65" spans="1:29" ht="9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3"/>
      <c r="W65" s="3"/>
      <c r="X65" s="3"/>
      <c r="Y65" s="3"/>
      <c r="Z65" s="3"/>
      <c r="AA65" s="3"/>
      <c r="AB65" s="3"/>
      <c r="AC65" s="3"/>
    </row>
    <row r="66" spans="1:29" ht="9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3"/>
      <c r="W66" s="3"/>
      <c r="X66" s="3"/>
      <c r="Y66" s="3"/>
      <c r="Z66" s="3"/>
      <c r="AA66" s="3"/>
      <c r="AB66" s="3"/>
      <c r="AC66" s="3"/>
    </row>
    <row r="67" spans="1:29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AC67" s="3"/>
    </row>
    <row r="68" spans="1:29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C68" s="3"/>
    </row>
    <row r="69" spans="1:29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AC69" s="3"/>
    </row>
    <row r="70" spans="1:29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AC70" s="3"/>
    </row>
    <row r="71" spans="1:29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1"/>
      <c r="L71" s="1"/>
      <c r="M71" s="1"/>
      <c r="N71" s="1"/>
      <c r="O71" s="1"/>
      <c r="P71" s="1"/>
      <c r="Q71" s="6"/>
      <c r="R71" s="6"/>
      <c r="S71" s="6"/>
      <c r="T71" s="6"/>
      <c r="U71" s="6"/>
      <c r="V71" s="3"/>
      <c r="W71" s="3"/>
      <c r="X71" s="3"/>
      <c r="Y71" s="3"/>
      <c r="Z71" s="3"/>
      <c r="AA71" s="3"/>
      <c r="AB71" s="3"/>
      <c r="AC71" s="3"/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9" t="str">
        <f>cosymbol</f>
        <v> NTES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 t="str">
        <f>coname</f>
        <v>Narai Thermal engineering Services </v>
      </c>
    </row>
    <row r="117" ht="13.5" customHeight="1"/>
    <row r="118" ht="13.5" customHeight="1"/>
  </sheetData>
  <mergeCells count="54">
    <mergeCell ref="T31:V31"/>
    <mergeCell ref="T36:V36"/>
    <mergeCell ref="X36:Z36"/>
    <mergeCell ref="T37:V37"/>
    <mergeCell ref="T32:V32"/>
    <mergeCell ref="T35:V35"/>
    <mergeCell ref="X35:Z35"/>
    <mergeCell ref="N55:Q55"/>
    <mergeCell ref="N52:R52"/>
    <mergeCell ref="N53:R53"/>
    <mergeCell ref="N54:R54"/>
    <mergeCell ref="W13:Y13"/>
    <mergeCell ref="Z13:Z14"/>
    <mergeCell ref="E13:E14"/>
    <mergeCell ref="O13:O14"/>
    <mergeCell ref="P13:Q13"/>
    <mergeCell ref="P14:Q14"/>
    <mergeCell ref="H14:N14"/>
    <mergeCell ref="H13:N13"/>
    <mergeCell ref="G13:G14"/>
    <mergeCell ref="AD31:AE31"/>
    <mergeCell ref="AE14:AF14"/>
    <mergeCell ref="AA13:AC13"/>
    <mergeCell ref="AF13:AG13"/>
    <mergeCell ref="AF16:AG17"/>
    <mergeCell ref="G16:G17"/>
    <mergeCell ref="J17:K17"/>
    <mergeCell ref="K16:L16"/>
    <mergeCell ref="AG14:AH14"/>
    <mergeCell ref="AA14:AB14"/>
    <mergeCell ref="AD13:AD14"/>
    <mergeCell ref="R13:R14"/>
    <mergeCell ref="S14:T14"/>
    <mergeCell ref="V13:V14"/>
    <mergeCell ref="W14:X14"/>
    <mergeCell ref="H25:I25"/>
    <mergeCell ref="N25:O25"/>
    <mergeCell ref="Q25:R25"/>
    <mergeCell ref="H27:I27"/>
    <mergeCell ref="N27:O27"/>
    <mergeCell ref="Q27:R27"/>
    <mergeCell ref="N50:R50"/>
    <mergeCell ref="N51:R51"/>
    <mergeCell ref="H29:I29"/>
    <mergeCell ref="N29:O29"/>
    <mergeCell ref="Q29:R29"/>
    <mergeCell ref="K32:L32"/>
    <mergeCell ref="K35:L35"/>
    <mergeCell ref="N35:O35"/>
    <mergeCell ref="R43:S43"/>
    <mergeCell ref="AC1:AH1"/>
    <mergeCell ref="A2:X4"/>
    <mergeCell ref="AC2:AH2"/>
    <mergeCell ref="AE4:AF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P75"/>
  <sheetViews>
    <sheetView view="pageBreakPreview" zoomScaleSheetLayoutView="100" workbookViewId="0" topLeftCell="A1">
      <selection activeCell="AB4" sqref="AB4"/>
    </sheetView>
  </sheetViews>
  <sheetFormatPr defaultColWidth="8.88671875" defaultRowHeight="13.5"/>
  <cols>
    <col min="1" max="36" width="2.3359375" style="2" customWidth="1"/>
    <col min="37" max="63" width="3.77734375" style="2" customWidth="1"/>
    <col min="64" max="16384" width="8.88671875" style="2" customWidth="1"/>
  </cols>
  <sheetData>
    <row r="1" spans="1:34" ht="9.75" customHeight="1">
      <c r="A1" s="33"/>
      <c r="B1" s="95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96" t="s">
        <v>359</v>
      </c>
      <c r="Z1" s="97"/>
      <c r="AA1" s="60"/>
      <c r="AB1" s="97"/>
      <c r="AC1" s="182" t="str">
        <f>docno</f>
        <v>TM - PSY - 100</v>
      </c>
      <c r="AD1" s="145"/>
      <c r="AE1" s="145"/>
      <c r="AF1" s="145"/>
      <c r="AG1" s="145"/>
      <c r="AH1" s="145"/>
    </row>
    <row r="2" spans="1:34" ht="9.75" customHeight="1">
      <c r="A2" s="115" t="str">
        <f>title</f>
        <v>P S Y C H R O M E T R I C S   :     B A S I C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6"/>
      <c r="Y2" s="38" t="s">
        <v>360</v>
      </c>
      <c r="Z2" s="34"/>
      <c r="AA2" s="98"/>
      <c r="AB2" s="34"/>
      <c r="AC2" s="183" t="s">
        <v>361</v>
      </c>
      <c r="AD2" s="119"/>
      <c r="AE2" s="119"/>
      <c r="AF2" s="119"/>
      <c r="AG2" s="119"/>
      <c r="AH2" s="119"/>
    </row>
    <row r="3" spans="1:34" ht="9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  <c r="Y3" s="99" t="s">
        <v>362</v>
      </c>
      <c r="Z3" s="100"/>
      <c r="AA3" s="100"/>
      <c r="AB3" s="100"/>
      <c r="AC3" s="66">
        <v>0</v>
      </c>
      <c r="AD3" s="101">
        <v>1</v>
      </c>
      <c r="AE3" s="101"/>
      <c r="AF3" s="101"/>
      <c r="AG3" s="101"/>
      <c r="AH3" s="70"/>
    </row>
    <row r="4" spans="1:34" ht="9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102" t="s">
        <v>363</v>
      </c>
      <c r="Z4" s="59"/>
      <c r="AA4" s="61"/>
      <c r="AB4" s="59"/>
      <c r="AC4" s="103"/>
      <c r="AD4" s="64">
        <v>5</v>
      </c>
      <c r="AE4" s="184" t="s">
        <v>364</v>
      </c>
      <c r="AF4" s="184"/>
      <c r="AG4" s="78">
        <f>sheetqty</f>
        <v>6</v>
      </c>
      <c r="AH4" s="65"/>
    </row>
    <row r="5" spans="1:34" ht="9.75" customHeight="1">
      <c r="A5" s="6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AH5" s="4"/>
    </row>
    <row r="6" spans="1:34" ht="9.75" customHeight="1">
      <c r="A6" s="6"/>
      <c r="B6" s="1"/>
      <c r="C6" s="6"/>
      <c r="D6" s="6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Y6" s="6"/>
      <c r="AH6" s="3"/>
    </row>
    <row r="7" spans="1:29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AC7" s="3"/>
    </row>
    <row r="8" spans="1:33" ht="9.75" customHeight="1">
      <c r="A8" s="6"/>
      <c r="B8" s="6"/>
      <c r="C8" s="11" t="s">
        <v>117</v>
      </c>
      <c r="D8" s="14" t="s">
        <v>118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9.75" customHeight="1">
      <c r="A9" s="6"/>
      <c r="B9" s="6"/>
      <c r="C9" s="1"/>
      <c r="D9" s="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/>
      <c r="C11" s="6"/>
      <c r="D11" s="53" t="s">
        <v>286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9" ht="9.75" customHeight="1">
      <c r="A13" s="6"/>
      <c r="B13" s="6"/>
      <c r="C13" s="6"/>
      <c r="D13" s="6"/>
      <c r="E13" s="21" t="s">
        <v>232</v>
      </c>
      <c r="F13" s="6"/>
      <c r="G13" s="6" t="s">
        <v>233</v>
      </c>
      <c r="H13" s="6" t="s">
        <v>234</v>
      </c>
      <c r="I13" s="6"/>
      <c r="J13" s="6"/>
      <c r="K13" s="6"/>
      <c r="L13" s="6"/>
      <c r="M13" s="32" t="s">
        <v>194</v>
      </c>
      <c r="N13" s="3"/>
      <c r="O13" s="167">
        <v>40</v>
      </c>
      <c r="P13" s="167"/>
      <c r="Q13" s="167"/>
      <c r="R13" s="6" t="s">
        <v>237</v>
      </c>
      <c r="S13" s="6"/>
      <c r="T13" s="6"/>
      <c r="U13" s="6"/>
      <c r="V13" s="6"/>
      <c r="W13" s="6"/>
      <c r="X13" s="3"/>
      <c r="Y13" s="3"/>
      <c r="Z13" s="3"/>
      <c r="AA13" s="3"/>
      <c r="AB13" s="3"/>
      <c r="AC13" s="3"/>
    </row>
    <row r="14" spans="1:29" ht="9.75" customHeight="1">
      <c r="A14" s="6"/>
      <c r="B14" s="6"/>
      <c r="C14" s="6"/>
      <c r="D14" s="6"/>
      <c r="E14" s="6"/>
      <c r="F14" s="6"/>
      <c r="G14" s="6"/>
      <c r="H14" s="6" t="s">
        <v>235</v>
      </c>
      <c r="I14" s="6"/>
      <c r="J14" s="6"/>
      <c r="K14" s="6"/>
      <c r="L14" s="6"/>
      <c r="M14" s="32" t="s">
        <v>60</v>
      </c>
      <c r="N14" s="3"/>
      <c r="O14" s="167">
        <v>14</v>
      </c>
      <c r="P14" s="167"/>
      <c r="Q14" s="167"/>
      <c r="R14" s="6" t="s">
        <v>239</v>
      </c>
      <c r="S14" s="6"/>
      <c r="T14" s="6"/>
      <c r="U14" s="6"/>
      <c r="V14" s="6"/>
      <c r="W14" s="6"/>
      <c r="X14" s="3"/>
      <c r="Y14" s="3"/>
      <c r="Z14" s="3"/>
      <c r="AA14" s="3"/>
      <c r="AB14" s="3"/>
      <c r="AC14" s="3"/>
    </row>
    <row r="15" spans="1:29" ht="9.75" customHeight="1">
      <c r="A15" s="1"/>
      <c r="B15" s="1"/>
      <c r="C15" s="1"/>
      <c r="D15" s="1"/>
      <c r="E15" s="1"/>
      <c r="F15" s="1"/>
      <c r="G15" s="1"/>
      <c r="H15" s="1" t="s">
        <v>236</v>
      </c>
      <c r="I15" s="1"/>
      <c r="J15" s="1"/>
      <c r="K15" s="1"/>
      <c r="L15" s="1"/>
      <c r="M15" s="31" t="s">
        <v>111</v>
      </c>
      <c r="O15" s="167">
        <v>0</v>
      </c>
      <c r="P15" s="167"/>
      <c r="Q15" s="167"/>
      <c r="R15" s="1" t="s">
        <v>238</v>
      </c>
      <c r="S15" s="1"/>
      <c r="T15" s="1"/>
      <c r="U15" s="1"/>
      <c r="V15" s="1"/>
      <c r="W15" s="1"/>
      <c r="AC15" s="3"/>
    </row>
    <row r="16" spans="1:29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81">
        <f>pressconv((pressconv(O15,R15,"kg/cm2.g")+1.033227),"kg/cm2.g",R15)</f>
        <v>1.033227</v>
      </c>
      <c r="P16" s="181"/>
      <c r="Q16" s="181"/>
      <c r="R16" s="1" t="str">
        <f>upsa(R15)</f>
        <v>kg/cm2.a</v>
      </c>
      <c r="S16" s="1"/>
      <c r="T16" s="1"/>
      <c r="U16" s="1"/>
      <c r="AC16" s="3"/>
    </row>
    <row r="17" spans="1:29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AC17" s="3"/>
    </row>
    <row r="18" spans="1:27" ht="9.75" customHeight="1">
      <c r="A18" s="1"/>
      <c r="B18" s="1"/>
      <c r="C18" s="1"/>
      <c r="D18" s="1"/>
      <c r="E18" s="8" t="s">
        <v>297</v>
      </c>
      <c r="F18" s="1"/>
      <c r="G18" s="1"/>
      <c r="H18" s="1"/>
      <c r="I18" s="1" t="s">
        <v>299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X18" s="3"/>
      <c r="AA18" s="52" t="s">
        <v>285</v>
      </c>
    </row>
    <row r="19" spans="1:29" ht="9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3"/>
      <c r="W19" s="3"/>
      <c r="X19" s="3"/>
      <c r="Y19" s="3"/>
      <c r="Z19" s="3"/>
      <c r="AA19" s="3"/>
      <c r="AB19" s="3"/>
      <c r="AC19" s="3"/>
    </row>
    <row r="20" spans="1:29" ht="9.75" customHeight="1">
      <c r="A20" s="1"/>
      <c r="B20" s="1"/>
      <c r="C20" s="1"/>
      <c r="D20" s="1"/>
      <c r="E20" s="1"/>
      <c r="F20" s="1" t="s">
        <v>283</v>
      </c>
      <c r="G20" s="1"/>
      <c r="H20" s="1"/>
      <c r="I20" s="1"/>
      <c r="J20" s="1"/>
      <c r="K20" s="1"/>
      <c r="L20" s="1"/>
      <c r="M20" s="1"/>
      <c r="N20" s="1"/>
      <c r="Q20" s="8" t="s">
        <v>240</v>
      </c>
      <c r="R20" s="1"/>
      <c r="S20" s="1"/>
      <c r="T20" s="208">
        <f>pressconv(fprop("Saturated","H2O L.P.",O13,R13,0,"","Yes",0,1,10),"kg/cm2.g",R15)</f>
        <v>-0.9579267956787535</v>
      </c>
      <c r="U20" s="208"/>
      <c r="V20" s="208"/>
      <c r="W20" s="1" t="str">
        <f>R15</f>
        <v>kg/cm2.g</v>
      </c>
      <c r="AA20" s="50" t="s">
        <v>288</v>
      </c>
      <c r="AC20" s="3"/>
    </row>
    <row r="21" spans="1:29" ht="9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208">
        <f>pressconv((pressconv(T20,W20,"kg/cm2.g")+1.033227),"kg/cm2.g",W20)</f>
        <v>0.0753002043212464</v>
      </c>
      <c r="U21" s="208"/>
      <c r="V21" s="208"/>
      <c r="W21" s="3" t="str">
        <f>upsa(W20)</f>
        <v>kg/cm2.a</v>
      </c>
      <c r="X21" s="3"/>
      <c r="Y21" s="3"/>
      <c r="Z21" s="3"/>
      <c r="AA21" s="3"/>
      <c r="AB21" s="3"/>
      <c r="AC21" s="3"/>
    </row>
    <row r="22" spans="1:28" ht="9.75" customHeight="1">
      <c r="A22" s="6"/>
      <c r="B22" s="6"/>
      <c r="C22" s="6"/>
      <c r="D22" s="6"/>
      <c r="E22" s="6"/>
      <c r="F22" s="6" t="s">
        <v>242</v>
      </c>
      <c r="G22" s="6"/>
      <c r="H22" s="6"/>
      <c r="I22" s="6"/>
      <c r="J22" s="6"/>
      <c r="K22" s="6"/>
      <c r="L22" s="6"/>
      <c r="M22" s="6"/>
      <c r="N22" s="6"/>
      <c r="O22" s="3"/>
      <c r="P22" s="3"/>
      <c r="Q22" s="21" t="s">
        <v>82</v>
      </c>
      <c r="R22" s="6"/>
      <c r="S22" s="6"/>
      <c r="T22" s="208">
        <f>T21*O14/100</f>
        <v>0.010542028604974496</v>
      </c>
      <c r="U22" s="208"/>
      <c r="V22" s="208"/>
      <c r="W22" s="6" t="str">
        <f>W21</f>
        <v>kg/cm2.a</v>
      </c>
      <c r="X22" s="3"/>
      <c r="Y22" s="3"/>
      <c r="Z22" s="3"/>
      <c r="AA22" s="50" t="s">
        <v>248</v>
      </c>
      <c r="AB22" s="3"/>
    </row>
    <row r="23" spans="1:28" ht="9.75" customHeight="1">
      <c r="A23" s="6"/>
      <c r="B23" s="6"/>
      <c r="C23" s="6"/>
      <c r="D23" s="6"/>
      <c r="E23" s="6"/>
      <c r="F23" s="6" t="s">
        <v>249</v>
      </c>
      <c r="G23" s="6"/>
      <c r="H23" s="6"/>
      <c r="I23" s="6"/>
      <c r="J23" s="6"/>
      <c r="K23" s="6"/>
      <c r="L23" s="6"/>
      <c r="M23" s="6"/>
      <c r="N23" s="6"/>
      <c r="O23" s="3"/>
      <c r="P23" s="3"/>
      <c r="Q23" s="21" t="s">
        <v>49</v>
      </c>
      <c r="R23" s="6"/>
      <c r="S23" s="6"/>
      <c r="T23" s="208">
        <f>T22/O16</f>
        <v>0.010203013089064163</v>
      </c>
      <c r="U23" s="208"/>
      <c r="V23" s="208"/>
      <c r="W23" s="6"/>
      <c r="X23" s="3"/>
      <c r="Y23" s="3"/>
      <c r="Z23" s="3"/>
      <c r="AA23" s="50" t="s">
        <v>250</v>
      </c>
      <c r="AB23" s="3"/>
    </row>
    <row r="24" spans="1:37" ht="9.75" customHeight="1">
      <c r="A24" s="1"/>
      <c r="B24" s="1"/>
      <c r="C24" s="1"/>
      <c r="D24" s="1"/>
      <c r="E24" s="1"/>
      <c r="F24" s="1" t="s">
        <v>251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8" t="s">
        <v>133</v>
      </c>
      <c r="R24" s="1"/>
      <c r="S24" s="1"/>
      <c r="T24" s="208">
        <f>(mwwv/mwda)*T23/(1-(1-(mwwv/mwda))*T23)</f>
        <v>0.006370592191528799</v>
      </c>
      <c r="U24" s="208"/>
      <c r="V24" s="208"/>
      <c r="AA24" s="50" t="s">
        <v>252</v>
      </c>
      <c r="AC24" s="3"/>
      <c r="AK24" s="105" t="str">
        <f>w_name</f>
        <v>Humidity Ratio</v>
      </c>
    </row>
    <row r="25" spans="1:37" ht="9.75" customHeight="1">
      <c r="A25" s="6"/>
      <c r="B25" s="6"/>
      <c r="C25" s="6"/>
      <c r="D25" s="6"/>
      <c r="E25" s="6"/>
      <c r="F25" s="6" t="str">
        <f>AK24</f>
        <v>Humidity Ratio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21" t="str">
        <f>AK25</f>
        <v>W</v>
      </c>
      <c r="R25" s="6"/>
      <c r="S25" s="6"/>
      <c r="T25" s="208">
        <f>T24/(1-T24)</f>
        <v>0.006411436841004583</v>
      </c>
      <c r="U25" s="208"/>
      <c r="V25" s="208"/>
      <c r="W25" s="3" t="s">
        <v>254</v>
      </c>
      <c r="X25" s="3"/>
      <c r="Y25" s="3"/>
      <c r="Z25" s="3"/>
      <c r="AA25" s="50" t="s">
        <v>253</v>
      </c>
      <c r="AB25" s="3"/>
      <c r="AC25" s="3" t="s">
        <v>255</v>
      </c>
      <c r="AD25" s="7" t="s">
        <v>259</v>
      </c>
      <c r="AE25" s="2" t="s">
        <v>257</v>
      </c>
      <c r="AK25" s="31" t="str">
        <f>w_symbol</f>
        <v>W</v>
      </c>
    </row>
    <row r="26" spans="1:31" ht="9.75" customHeight="1">
      <c r="A26" s="1"/>
      <c r="B26" s="1"/>
      <c r="C26" s="1"/>
      <c r="D26" s="1"/>
      <c r="E26" s="1"/>
      <c r="F26" s="1" t="s">
        <v>264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8" t="s">
        <v>63</v>
      </c>
      <c r="R26" s="1"/>
      <c r="S26" s="1"/>
      <c r="T26" s="209">
        <f>tempconv(fprop("Saturated","H2O L.P.",0,"",pressconv(T22,upsg(W22),"kg/cm2.g")-1.033227,"kg/cm2.g","Yes",0,0,0),"℃",W26)</f>
        <v>7.455040399350366</v>
      </c>
      <c r="U26" s="209"/>
      <c r="V26" s="209"/>
      <c r="W26" s="2" t="str">
        <f>R13</f>
        <v>℃</v>
      </c>
      <c r="AA26" s="50" t="s">
        <v>263</v>
      </c>
      <c r="AC26" s="3" t="s">
        <v>256</v>
      </c>
      <c r="AD26" s="7" t="s">
        <v>259</v>
      </c>
      <c r="AE26" s="2" t="s">
        <v>258</v>
      </c>
    </row>
    <row r="27" spans="1:29" ht="9.75" customHeight="1">
      <c r="A27" s="6"/>
      <c r="B27" s="6"/>
      <c r="C27" s="6"/>
      <c r="D27" s="6"/>
      <c r="E27" s="6"/>
      <c r="F27" s="6" t="s">
        <v>265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21" t="s">
        <v>266</v>
      </c>
      <c r="R27" s="6"/>
      <c r="S27" s="6"/>
      <c r="T27" s="209">
        <f>tempconv(rh_twb(O13,R13,O14,0,O15,R15,0,1),"℃",W27)</f>
        <v>20.00599999999997</v>
      </c>
      <c r="U27" s="209"/>
      <c r="V27" s="209"/>
      <c r="W27" s="3" t="str">
        <f>W26</f>
        <v>℃</v>
      </c>
      <c r="X27" s="3"/>
      <c r="Y27" s="3"/>
      <c r="Z27" s="3"/>
      <c r="AA27" s="50" t="s">
        <v>277</v>
      </c>
      <c r="AB27" s="3"/>
      <c r="AC27" s="3"/>
    </row>
    <row r="28" spans="1:31" ht="9.75" customHeight="1">
      <c r="A28" s="6"/>
      <c r="B28" s="6"/>
      <c r="C28" s="6"/>
      <c r="D28" s="6"/>
      <c r="E28" s="6"/>
      <c r="F28" s="6" t="s">
        <v>401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21" t="s">
        <v>403</v>
      </c>
      <c r="R28" s="6"/>
      <c r="S28" s="6"/>
      <c r="T28" s="210">
        <f>maprop(O13,R13,O14,O15,R15,3)</f>
        <v>13.55243061386035</v>
      </c>
      <c r="U28" s="210"/>
      <c r="V28" s="210"/>
      <c r="W28" s="6" t="s">
        <v>399</v>
      </c>
      <c r="X28" s="3"/>
      <c r="Y28" s="3"/>
      <c r="Z28" s="3"/>
      <c r="AA28" s="50" t="s">
        <v>406</v>
      </c>
      <c r="AB28" s="3"/>
      <c r="AC28" s="220">
        <f>T28*4.1868</f>
        <v>56.741316494110514</v>
      </c>
      <c r="AD28" s="220"/>
      <c r="AE28" s="6" t="s">
        <v>400</v>
      </c>
    </row>
    <row r="29" spans="1:29" ht="9.75" customHeight="1">
      <c r="A29" s="1"/>
      <c r="B29" s="1"/>
      <c r="C29" s="1"/>
      <c r="D29" s="1"/>
      <c r="E29" s="1"/>
      <c r="F29" s="1" t="s">
        <v>402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8" t="s">
        <v>404</v>
      </c>
      <c r="R29" s="1"/>
      <c r="S29" s="1"/>
      <c r="T29" s="210">
        <f>maprop(O13,R13,O14,O15,R15,1)</f>
        <v>0.8963038610535686</v>
      </c>
      <c r="U29" s="210"/>
      <c r="V29" s="210"/>
      <c r="W29" s="1" t="s">
        <v>405</v>
      </c>
      <c r="AA29" s="50" t="s">
        <v>407</v>
      </c>
      <c r="AC29" s="3"/>
    </row>
    <row r="30" spans="1:42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AC30" s="3"/>
      <c r="AK30" s="211" t="s">
        <v>306</v>
      </c>
      <c r="AL30" s="211"/>
      <c r="AM30" s="211"/>
      <c r="AN30" s="211"/>
      <c r="AO30" s="211"/>
      <c r="AP30" s="211"/>
    </row>
    <row r="31" spans="1:42" ht="9.75" customHeight="1">
      <c r="A31" s="1"/>
      <c r="B31" s="1"/>
      <c r="C31" s="1"/>
      <c r="D31" s="1"/>
      <c r="E31" s="8" t="str">
        <f>"Enthalpy Balance for Eq. "&amp;AA27</f>
        <v>Enthalpy Balance for Eq. 5.4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8" t="s">
        <v>192</v>
      </c>
      <c r="R31" s="1"/>
      <c r="S31" s="1"/>
      <c r="T31" s="211" t="s">
        <v>194</v>
      </c>
      <c r="U31" s="211"/>
      <c r="V31" s="211"/>
      <c r="X31" s="211" t="s">
        <v>66</v>
      </c>
      <c r="Y31" s="211"/>
      <c r="Z31" s="211"/>
      <c r="AC31" s="3"/>
      <c r="AK31" s="33" t="s">
        <v>192</v>
      </c>
      <c r="AL31" s="9"/>
      <c r="AM31" s="216" t="s">
        <v>194</v>
      </c>
      <c r="AN31" s="216"/>
      <c r="AO31" s="216" t="s">
        <v>66</v>
      </c>
      <c r="AP31" s="216"/>
    </row>
    <row r="32" spans="1:42" ht="9.75" customHeight="1">
      <c r="A32" s="1"/>
      <c r="B32" s="1"/>
      <c r="C32" s="1"/>
      <c r="D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8" t="s">
        <v>49</v>
      </c>
      <c r="R32" s="1"/>
      <c r="S32" s="1"/>
      <c r="T32" s="208">
        <f>rh_twb(O13,R13,O14,0,O15,R15,0,11)</f>
        <v>0.010203013089064109</v>
      </c>
      <c r="U32" s="208"/>
      <c r="V32" s="208"/>
      <c r="W32" s="6"/>
      <c r="X32" s="208">
        <f>rh_twb(O13,R13,O14,0,O15,R15,0,21)</f>
        <v>0.0230948465401119</v>
      </c>
      <c r="Y32" s="208"/>
      <c r="Z32" s="208"/>
      <c r="AC32" s="3"/>
      <c r="AK32" s="55" t="s">
        <v>49</v>
      </c>
      <c r="AL32" s="43"/>
      <c r="AM32" s="217">
        <f>maprop(O13,R13,O14,O15,R15,6)</f>
        <v>0.010203013089064109</v>
      </c>
      <c r="AN32" s="217"/>
      <c r="AO32" s="217">
        <f>maprop(T27,W27,100,O15,R15,6)</f>
        <v>0.0230948465401119</v>
      </c>
      <c r="AP32" s="217"/>
    </row>
    <row r="33" spans="1:4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8" t="str">
        <f>AK25</f>
        <v>W</v>
      </c>
      <c r="R33" s="1"/>
      <c r="S33" s="1"/>
      <c r="T33" s="208">
        <f>rh_twb(O13,R13,O14,0,O15,R15,0,12)</f>
        <v>0.006411436841004549</v>
      </c>
      <c r="U33" s="208"/>
      <c r="V33" s="208"/>
      <c r="W33" s="6"/>
      <c r="X33" s="208">
        <f>rh_twb(O13,R13,O14,0,O15,R15,0,22)</f>
        <v>0.014704008062977439</v>
      </c>
      <c r="Y33" s="208"/>
      <c r="Z33" s="208"/>
      <c r="AC33" s="3"/>
      <c r="AK33" s="56" t="str">
        <f>AK25</f>
        <v>W</v>
      </c>
      <c r="AL33" s="34"/>
      <c r="AM33" s="218">
        <f>maprop(O13,R13,O14,O15,R15,8)</f>
        <v>0.006411436841004549</v>
      </c>
      <c r="AN33" s="218"/>
      <c r="AO33" s="218">
        <f>maprop(T27,W27,100,O15,R15,8)</f>
        <v>0.014704008062977439</v>
      </c>
      <c r="AP33" s="218"/>
    </row>
    <row r="34" spans="1:42" ht="9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8" t="str">
        <f>Q28</f>
        <v>h</v>
      </c>
      <c r="R34" s="1"/>
      <c r="S34" s="6"/>
      <c r="T34" s="210">
        <f>rh_twb(O13,R13,O14,0,O15,R15,0,14)</f>
        <v>13.55243061386035</v>
      </c>
      <c r="U34" s="210"/>
      <c r="V34" s="210"/>
      <c r="W34" s="6" t="s">
        <v>399</v>
      </c>
      <c r="X34" s="109"/>
      <c r="Y34" s="109"/>
      <c r="Z34" s="109"/>
      <c r="AK34" s="56" t="s">
        <v>302</v>
      </c>
      <c r="AL34" s="34"/>
      <c r="AM34" s="215">
        <f>maprop(O13,R13,O14,O15,R15,3)</f>
        <v>13.55243061386035</v>
      </c>
      <c r="AN34" s="215"/>
      <c r="AO34" s="79"/>
      <c r="AP34" s="79"/>
    </row>
    <row r="35" spans="1:4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8" t="s">
        <v>303</v>
      </c>
      <c r="R35" s="1"/>
      <c r="S35" s="1"/>
      <c r="T35" s="210">
        <f>rh_twb(O13,R13,O14,0,O15,R15,0,15)</f>
        <v>20.002177319193624</v>
      </c>
      <c r="U35" s="210"/>
      <c r="V35" s="210"/>
      <c r="W35" s="6"/>
      <c r="X35" s="109"/>
      <c r="Y35" s="109"/>
      <c r="Z35" s="109"/>
      <c r="AA35" s="2" t="s">
        <v>300</v>
      </c>
      <c r="AC35" s="3"/>
      <c r="AK35" s="56"/>
      <c r="AL35" s="34"/>
      <c r="AM35" s="79"/>
      <c r="AN35" s="79"/>
      <c r="AO35" s="79"/>
      <c r="AP35" s="79"/>
    </row>
    <row r="36" spans="1:4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4" t="s">
        <v>304</v>
      </c>
      <c r="R36" s="1"/>
      <c r="S36" s="1"/>
      <c r="T36" s="208">
        <f>(X33-T33)*T35</f>
        <v>0.1658694800139439</v>
      </c>
      <c r="U36" s="208"/>
      <c r="V36" s="208"/>
      <c r="AA36" s="2" t="str">
        <f>"* = ( "&amp;Q33&amp;"s* - "&amp;Q33&amp;" ) x hw"</f>
        <v>* = ( Ws* - W ) x hw</v>
      </c>
      <c r="AC36" s="3"/>
      <c r="AK36" s="57"/>
      <c r="AL36" s="34"/>
      <c r="AM36" s="79"/>
      <c r="AN36" s="79"/>
      <c r="AO36" s="34"/>
      <c r="AP36" s="34"/>
    </row>
    <row r="37" spans="1:42" ht="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8" t="s">
        <v>206</v>
      </c>
      <c r="R37" s="1"/>
      <c r="S37" s="6"/>
      <c r="T37" s="210">
        <f>rh_twb(O13,R13,O14,0,O15,R15,0,13)</f>
        <v>13.718300093874294</v>
      </c>
      <c r="U37" s="210"/>
      <c r="V37" s="210"/>
      <c r="W37" s="6"/>
      <c r="X37" s="210">
        <f>rh_twb(O13,R13,O14,0,O15,R15,0,23)</f>
        <v>13.717697007325814</v>
      </c>
      <c r="Y37" s="210"/>
      <c r="Z37" s="210"/>
      <c r="AA37" s="3" t="s">
        <v>305</v>
      </c>
      <c r="AB37" s="3"/>
      <c r="AC37" s="3"/>
      <c r="AD37" s="212">
        <f>(X37/T37-1)*100</f>
        <v>-0.004396219242563948</v>
      </c>
      <c r="AE37" s="212"/>
      <c r="AF37" s="2" t="s">
        <v>217</v>
      </c>
      <c r="AK37" s="58" t="s">
        <v>206</v>
      </c>
      <c r="AL37" s="35"/>
      <c r="AM37" s="80"/>
      <c r="AN37" s="80"/>
      <c r="AO37" s="219">
        <f>maprop(T27,W27,100,O15,R15,3)</f>
        <v>13.717697007325814</v>
      </c>
      <c r="AP37" s="219"/>
    </row>
    <row r="38" spans="1:39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7" t="s">
        <v>301</v>
      </c>
      <c r="R38" s="1"/>
      <c r="S38" s="1"/>
      <c r="T38" s="210">
        <f>T34+T36</f>
        <v>13.718300093874294</v>
      </c>
      <c r="U38" s="210"/>
      <c r="V38" s="210"/>
      <c r="W38" s="1"/>
      <c r="AC38" s="3"/>
      <c r="AJ38" s="1"/>
      <c r="AK38" s="1"/>
      <c r="AL38" s="1"/>
      <c r="AM38" s="1"/>
    </row>
    <row r="39" spans="1:28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3"/>
      <c r="W39" s="3"/>
      <c r="X39" s="3"/>
      <c r="Y39" s="3"/>
      <c r="Z39" s="3"/>
      <c r="AA39" s="3"/>
      <c r="AB39" s="3"/>
    </row>
    <row r="40" spans="1:29" ht="9.75" customHeight="1">
      <c r="A40" s="1"/>
      <c r="B40" s="1"/>
      <c r="C40" s="6"/>
      <c r="D40" s="53" t="s">
        <v>280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AC40" s="3"/>
    </row>
    <row r="41" spans="1:29" ht="9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3"/>
      <c r="W41" s="3"/>
      <c r="X41" s="3"/>
      <c r="Y41" s="3"/>
      <c r="Z41" s="3"/>
      <c r="AA41" s="3"/>
      <c r="AB41" s="3"/>
      <c r="AC41" s="3"/>
    </row>
    <row r="42" spans="1:29" ht="9.75" customHeight="1">
      <c r="A42" s="6"/>
      <c r="B42" s="6"/>
      <c r="C42" s="6"/>
      <c r="D42" s="6"/>
      <c r="E42" s="21" t="s">
        <v>298</v>
      </c>
      <c r="F42" s="6"/>
      <c r="G42" s="6" t="s">
        <v>233</v>
      </c>
      <c r="H42" s="6" t="s">
        <v>234</v>
      </c>
      <c r="I42" s="6"/>
      <c r="J42" s="6"/>
      <c r="K42" s="6"/>
      <c r="L42" s="6"/>
      <c r="M42" s="32" t="s">
        <v>194</v>
      </c>
      <c r="N42" s="3"/>
      <c r="O42" s="167">
        <v>40</v>
      </c>
      <c r="P42" s="167"/>
      <c r="Q42" s="167"/>
      <c r="R42" s="6" t="s">
        <v>237</v>
      </c>
      <c r="S42" s="6"/>
      <c r="T42" s="6"/>
      <c r="U42" s="6"/>
      <c r="V42" s="6"/>
      <c r="W42" s="6"/>
      <c r="X42" s="3"/>
      <c r="Y42" s="3"/>
      <c r="Z42" s="3"/>
      <c r="AA42" s="3"/>
      <c r="AB42" s="3"/>
      <c r="AC42" s="3"/>
    </row>
    <row r="43" spans="1:29" ht="9.75" customHeight="1">
      <c r="A43" s="6"/>
      <c r="B43" s="6"/>
      <c r="C43" s="6"/>
      <c r="D43" s="6"/>
      <c r="E43" s="6"/>
      <c r="F43" s="6"/>
      <c r="G43" s="6"/>
      <c r="H43" s="6" t="s">
        <v>281</v>
      </c>
      <c r="I43" s="6"/>
      <c r="J43" s="6"/>
      <c r="K43" s="6"/>
      <c r="L43" s="6"/>
      <c r="M43" s="32" t="s">
        <v>282</v>
      </c>
      <c r="N43" s="3"/>
      <c r="O43" s="167">
        <v>20</v>
      </c>
      <c r="P43" s="167"/>
      <c r="Q43" s="167"/>
      <c r="R43" s="6" t="str">
        <f>R42</f>
        <v>℃</v>
      </c>
      <c r="S43" s="6"/>
      <c r="T43" s="6"/>
      <c r="U43" s="6"/>
      <c r="V43" s="6"/>
      <c r="W43" s="6"/>
      <c r="X43" s="3"/>
      <c r="Y43" s="3"/>
      <c r="Z43" s="3"/>
      <c r="AA43" s="3"/>
      <c r="AB43" s="3"/>
      <c r="AC43" s="3"/>
    </row>
    <row r="44" spans="1:29" ht="9.75" customHeight="1">
      <c r="A44" s="1"/>
      <c r="B44" s="1"/>
      <c r="C44" s="1"/>
      <c r="D44" s="1"/>
      <c r="E44" s="1"/>
      <c r="F44" s="1"/>
      <c r="G44" s="1"/>
      <c r="H44" s="1" t="s">
        <v>236</v>
      </c>
      <c r="I44" s="1"/>
      <c r="J44" s="1"/>
      <c r="K44" s="1"/>
      <c r="L44" s="1"/>
      <c r="M44" s="31" t="s">
        <v>111</v>
      </c>
      <c r="O44" s="167">
        <v>0</v>
      </c>
      <c r="P44" s="167"/>
      <c r="Q44" s="167"/>
      <c r="R44" s="1" t="s">
        <v>238</v>
      </c>
      <c r="S44" s="1"/>
      <c r="T44" s="1"/>
      <c r="U44" s="1"/>
      <c r="V44" s="1"/>
      <c r="W44" s="1"/>
      <c r="AC44" s="3"/>
    </row>
    <row r="45" spans="1:29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81">
        <f>pressconv((pressconv(O44,R44,"kg/cm2.g")+1.033227),"kg/cm2.g",R44)</f>
        <v>1.033227</v>
      </c>
      <c r="P45" s="181"/>
      <c r="Q45" s="181"/>
      <c r="R45" s="1" t="str">
        <f>upsa(R44)</f>
        <v>kg/cm2.a</v>
      </c>
      <c r="S45" s="1"/>
      <c r="T45" s="1"/>
      <c r="U45" s="1"/>
      <c r="AC45" s="3"/>
    </row>
    <row r="46" spans="1:29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AC46" s="3"/>
    </row>
    <row r="47" spans="1:27" ht="9.75" customHeight="1">
      <c r="A47" s="1"/>
      <c r="B47" s="1"/>
      <c r="C47" s="1"/>
      <c r="D47" s="1"/>
      <c r="E47" s="8" t="s">
        <v>297</v>
      </c>
      <c r="F47" s="1"/>
      <c r="G47" s="1"/>
      <c r="H47" s="1"/>
      <c r="I47" s="1" t="s">
        <v>299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Z47" s="3"/>
      <c r="AA47" s="52" t="s">
        <v>284</v>
      </c>
    </row>
    <row r="48" spans="1:29" ht="9.75" customHeight="1">
      <c r="A48" s="6"/>
      <c r="B48" s="6"/>
      <c r="C48" s="6"/>
      <c r="D48" s="6"/>
      <c r="E48" s="2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3"/>
      <c r="W48" s="3"/>
      <c r="X48" s="3"/>
      <c r="Y48" s="3"/>
      <c r="Z48" s="3"/>
      <c r="AA48" s="3"/>
      <c r="AB48" s="3"/>
      <c r="AC48" s="3"/>
    </row>
    <row r="49" spans="1:28" ht="9.75" customHeight="1">
      <c r="A49" s="6"/>
      <c r="B49" s="6"/>
      <c r="C49" s="6"/>
      <c r="D49" s="6"/>
      <c r="E49" s="6"/>
      <c r="F49" s="6" t="s">
        <v>289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21" t="s">
        <v>290</v>
      </c>
      <c r="R49" s="6"/>
      <c r="S49" s="6"/>
      <c r="T49" s="214">
        <f>rh_twb(O42,R42,0,O43,O44,R44,1,0)</f>
        <v>13.98</v>
      </c>
      <c r="U49" s="214"/>
      <c r="V49" s="214"/>
      <c r="W49" s="3" t="s">
        <v>217</v>
      </c>
      <c r="X49" s="3"/>
      <c r="Y49" s="3"/>
      <c r="Z49" s="3"/>
      <c r="AA49" s="50" t="s">
        <v>277</v>
      </c>
      <c r="AB49" s="3"/>
    </row>
    <row r="50" spans="1:29" ht="9.75" customHeight="1">
      <c r="A50" s="1"/>
      <c r="B50" s="1"/>
      <c r="C50" s="1"/>
      <c r="D50" s="1"/>
      <c r="E50" s="1"/>
      <c r="F50" s="1" t="s">
        <v>283</v>
      </c>
      <c r="G50" s="1"/>
      <c r="H50" s="1"/>
      <c r="I50" s="1"/>
      <c r="J50" s="1"/>
      <c r="K50" s="1"/>
      <c r="L50" s="1"/>
      <c r="M50" s="1"/>
      <c r="N50" s="1"/>
      <c r="Q50" s="8" t="s">
        <v>240</v>
      </c>
      <c r="R50" s="1"/>
      <c r="S50" s="1"/>
      <c r="T50" s="208">
        <f>pressconv(fprop("Saturated","H2O L.P.",O42,R42,0,"","Yes",0,1,10),"kg/cm2.g",R44)</f>
        <v>-0.9579267956787535</v>
      </c>
      <c r="U50" s="208"/>
      <c r="V50" s="208"/>
      <c r="W50" s="1" t="str">
        <f>R44</f>
        <v>kg/cm2.g</v>
      </c>
      <c r="AA50" s="50" t="s">
        <v>288</v>
      </c>
      <c r="AC50" s="3"/>
    </row>
    <row r="51" spans="1:29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208">
        <f>pressconv((pressconv(T50,W50,"kg/cm2.g")+1.033227),"kg/cm2.g",W50)</f>
        <v>0.0753002043212464</v>
      </c>
      <c r="U51" s="208"/>
      <c r="V51" s="208"/>
      <c r="W51" s="3" t="str">
        <f>upsa(W50)</f>
        <v>kg/cm2.a</v>
      </c>
      <c r="X51" s="3"/>
      <c r="Y51" s="3"/>
      <c r="Z51" s="3"/>
      <c r="AA51" s="3"/>
      <c r="AB51" s="3"/>
      <c r="AC51" s="3"/>
    </row>
    <row r="52" spans="1:28" ht="9.75" customHeight="1">
      <c r="A52" s="6"/>
      <c r="B52" s="6"/>
      <c r="C52" s="6"/>
      <c r="D52" s="6"/>
      <c r="E52" s="6"/>
      <c r="F52" s="6" t="s">
        <v>242</v>
      </c>
      <c r="G52" s="6"/>
      <c r="H52" s="6"/>
      <c r="I52" s="6"/>
      <c r="J52" s="6"/>
      <c r="K52" s="6"/>
      <c r="L52" s="6"/>
      <c r="M52" s="6"/>
      <c r="N52" s="6"/>
      <c r="O52" s="3"/>
      <c r="P52" s="3"/>
      <c r="Q52" s="21" t="s">
        <v>82</v>
      </c>
      <c r="R52" s="6"/>
      <c r="S52" s="6"/>
      <c r="T52" s="208">
        <f>T51*T49/100</f>
        <v>0.010526968564110246</v>
      </c>
      <c r="U52" s="208"/>
      <c r="V52" s="208"/>
      <c r="W52" s="6" t="str">
        <f>W51</f>
        <v>kg/cm2.a</v>
      </c>
      <c r="X52" s="3"/>
      <c r="Y52" s="3"/>
      <c r="Z52" s="3"/>
      <c r="AA52" s="50" t="s">
        <v>248</v>
      </c>
      <c r="AB52" s="3"/>
    </row>
    <row r="53" spans="1:28" ht="9.75" customHeight="1">
      <c r="A53" s="6"/>
      <c r="B53" s="6"/>
      <c r="C53" s="6"/>
      <c r="D53" s="6"/>
      <c r="E53" s="6"/>
      <c r="F53" s="6" t="s">
        <v>249</v>
      </c>
      <c r="G53" s="6"/>
      <c r="H53" s="6"/>
      <c r="I53" s="6"/>
      <c r="J53" s="6"/>
      <c r="K53" s="6"/>
      <c r="L53" s="6"/>
      <c r="M53" s="6"/>
      <c r="N53" s="6"/>
      <c r="O53" s="3"/>
      <c r="P53" s="3"/>
      <c r="Q53" s="21" t="s">
        <v>49</v>
      </c>
      <c r="R53" s="6"/>
      <c r="S53" s="6"/>
      <c r="T53" s="208">
        <f>T52/O45</f>
        <v>0.010188437356079784</v>
      </c>
      <c r="U53" s="208"/>
      <c r="V53" s="208"/>
      <c r="W53" s="6"/>
      <c r="X53" s="3"/>
      <c r="Y53" s="3"/>
      <c r="Z53" s="3"/>
      <c r="AA53" s="50" t="s">
        <v>250</v>
      </c>
      <c r="AB53" s="3"/>
    </row>
    <row r="54" spans="1:37" ht="9.75" customHeight="1">
      <c r="A54" s="1"/>
      <c r="B54" s="1"/>
      <c r="C54" s="1"/>
      <c r="D54" s="1"/>
      <c r="E54" s="1"/>
      <c r="F54" s="1" t="s">
        <v>251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8" t="s">
        <v>133</v>
      </c>
      <c r="R54" s="1"/>
      <c r="S54" s="1"/>
      <c r="T54" s="208">
        <f>(mwwv/mwda)*T53/(1-(1-(mwwv/mwda))*T53)</f>
        <v>0.006361456158271127</v>
      </c>
      <c r="U54" s="208"/>
      <c r="V54" s="208"/>
      <c r="AA54" s="50" t="s">
        <v>252</v>
      </c>
      <c r="AC54" s="3"/>
      <c r="AK54" s="105" t="str">
        <f>w_name</f>
        <v>Humidity Ratio</v>
      </c>
    </row>
    <row r="55" spans="1:37" ht="9.75" customHeight="1">
      <c r="A55" s="6"/>
      <c r="B55" s="6"/>
      <c r="C55" s="6"/>
      <c r="D55" s="6"/>
      <c r="E55" s="6"/>
      <c r="F55" s="6" t="str">
        <f>AK54</f>
        <v>Humidity Ratio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21" t="str">
        <f>AK55</f>
        <v>W</v>
      </c>
      <c r="R55" s="6"/>
      <c r="S55" s="6"/>
      <c r="T55" s="208">
        <f>T54/(1-T54)</f>
        <v>0.006402183367078006</v>
      </c>
      <c r="U55" s="208"/>
      <c r="V55" s="208"/>
      <c r="W55" s="3" t="s">
        <v>254</v>
      </c>
      <c r="X55" s="3"/>
      <c r="Y55" s="3"/>
      <c r="Z55" s="3"/>
      <c r="AA55" s="50" t="s">
        <v>253</v>
      </c>
      <c r="AB55" s="3"/>
      <c r="AC55" s="3" t="s">
        <v>255</v>
      </c>
      <c r="AD55" s="7" t="s">
        <v>259</v>
      </c>
      <c r="AE55" s="2" t="s">
        <v>257</v>
      </c>
      <c r="AK55" s="31" t="str">
        <f>w_symbol</f>
        <v>W</v>
      </c>
    </row>
    <row r="56" spans="1:31" ht="9.75" customHeight="1">
      <c r="A56" s="1"/>
      <c r="B56" s="1"/>
      <c r="C56" s="1"/>
      <c r="D56" s="1"/>
      <c r="E56" s="1"/>
      <c r="F56" s="1" t="s">
        <v>264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8" t="s">
        <v>63</v>
      </c>
      <c r="R56" s="1"/>
      <c r="S56" s="1"/>
      <c r="T56" s="209">
        <f>tempconv(fprop("Saturated","H2O L.P.",0,"",pressconv(T52,upsg(W52),"kg/cm2.g")-1.033227,"kg/cm2.g","Yes",0,0,0),"℃",W56)</f>
        <v>7.434137677812032</v>
      </c>
      <c r="U56" s="209"/>
      <c r="V56" s="209"/>
      <c r="W56" s="2" t="str">
        <f>R42</f>
        <v>℃</v>
      </c>
      <c r="AA56" s="50" t="s">
        <v>263</v>
      </c>
      <c r="AC56" s="3" t="s">
        <v>256</v>
      </c>
      <c r="AD56" s="7" t="s">
        <v>259</v>
      </c>
      <c r="AE56" s="2" t="s">
        <v>258</v>
      </c>
    </row>
    <row r="57" spans="1:31" ht="9.75" customHeight="1">
      <c r="A57" s="6"/>
      <c r="B57" s="6"/>
      <c r="C57" s="6"/>
      <c r="D57" s="6"/>
      <c r="E57" s="6"/>
      <c r="F57" s="6" t="s">
        <v>401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21" t="s">
        <v>403</v>
      </c>
      <c r="R57" s="6"/>
      <c r="S57" s="6"/>
      <c r="T57" s="210">
        <f>maprop(O42,R42,T49,O44,R44,3)</f>
        <v>13.546743484305955</v>
      </c>
      <c r="U57" s="210"/>
      <c r="V57" s="210"/>
      <c r="W57" s="6" t="s">
        <v>399</v>
      </c>
      <c r="X57" s="3"/>
      <c r="Y57" s="3"/>
      <c r="Z57" s="3"/>
      <c r="AA57" s="50" t="s">
        <v>406</v>
      </c>
      <c r="AB57" s="3"/>
      <c r="AC57" s="220">
        <f>T57*4.1868</f>
        <v>56.71750562009217</v>
      </c>
      <c r="AD57" s="220"/>
      <c r="AE57" s="6" t="s">
        <v>400</v>
      </c>
    </row>
    <row r="58" spans="1:29" ht="9.75" customHeight="1">
      <c r="A58" s="6"/>
      <c r="B58" s="6"/>
      <c r="C58" s="6"/>
      <c r="D58" s="6"/>
      <c r="E58" s="6"/>
      <c r="F58" s="1" t="s">
        <v>402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21" t="s">
        <v>404</v>
      </c>
      <c r="R58" s="6"/>
      <c r="S58" s="6"/>
      <c r="T58" s="210">
        <f>maprop(O42,R42,T49,O44,R44,1)</f>
        <v>0.8962906622930726</v>
      </c>
      <c r="U58" s="210"/>
      <c r="V58" s="210"/>
      <c r="W58" s="1" t="s">
        <v>405</v>
      </c>
      <c r="AA58" s="50" t="s">
        <v>407</v>
      </c>
      <c r="AC58" s="3"/>
    </row>
    <row r="59" spans="1:42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3"/>
      <c r="W59" s="3"/>
      <c r="X59" s="3"/>
      <c r="Y59" s="3"/>
      <c r="Z59" s="3"/>
      <c r="AA59" s="3"/>
      <c r="AB59" s="3"/>
      <c r="AC59" s="3"/>
      <c r="AK59" s="211" t="s">
        <v>306</v>
      </c>
      <c r="AL59" s="211"/>
      <c r="AM59" s="211"/>
      <c r="AN59" s="211"/>
      <c r="AO59" s="211"/>
      <c r="AP59" s="211"/>
    </row>
    <row r="60" spans="1:42" ht="9.75" customHeight="1">
      <c r="A60" s="6"/>
      <c r="B60" s="6"/>
      <c r="C60" s="6"/>
      <c r="D60" s="6"/>
      <c r="E60" s="8" t="str">
        <f>"Enthalpy Balance for Eq. "&amp;AA49</f>
        <v>Enthalpy Balance for Eq. 5.4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21" t="s">
        <v>192</v>
      </c>
      <c r="R60" s="6"/>
      <c r="S60" s="6"/>
      <c r="T60" s="211" t="s">
        <v>194</v>
      </c>
      <c r="U60" s="211"/>
      <c r="V60" s="211"/>
      <c r="W60" s="6"/>
      <c r="X60" s="211" t="s">
        <v>66</v>
      </c>
      <c r="Y60" s="211"/>
      <c r="Z60" s="211"/>
      <c r="AA60" s="3"/>
      <c r="AB60" s="3"/>
      <c r="AC60" s="3"/>
      <c r="AK60" s="33" t="s">
        <v>192</v>
      </c>
      <c r="AL60" s="9"/>
      <c r="AM60" s="216" t="s">
        <v>194</v>
      </c>
      <c r="AN60" s="216"/>
      <c r="AO60" s="216" t="s">
        <v>66</v>
      </c>
      <c r="AP60" s="216"/>
    </row>
    <row r="61" spans="1:42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8" t="s">
        <v>49</v>
      </c>
      <c r="R61" s="1"/>
      <c r="S61" s="1"/>
      <c r="T61" s="213">
        <f>rh_twb(O42,R42,0,O43,O44,R44,1,11)</f>
        <v>0.01018843735607982</v>
      </c>
      <c r="U61" s="213"/>
      <c r="V61" s="213"/>
      <c r="X61" s="213">
        <f>rh_twb(O42,R42,0,O43,O44,R44,1,21)</f>
        <v>0.02308626490906415</v>
      </c>
      <c r="Y61" s="213"/>
      <c r="Z61" s="213"/>
      <c r="AC61" s="3"/>
      <c r="AK61" s="55" t="s">
        <v>49</v>
      </c>
      <c r="AL61" s="43"/>
      <c r="AM61" s="217">
        <f>maprop(O42,R42,T49,O44,R44,6)</f>
        <v>0.01018843735607982</v>
      </c>
      <c r="AN61" s="217"/>
      <c r="AO61" s="217">
        <f>maprop(O43,R43,100,O44,R44,6)</f>
        <v>0.02308626490906415</v>
      </c>
      <c r="AP61" s="217"/>
    </row>
    <row r="62" spans="1:42" ht="9.75" customHeight="1">
      <c r="A62" s="1"/>
      <c r="B62" s="1"/>
      <c r="C62" s="1"/>
      <c r="D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8" t="str">
        <f>AK55</f>
        <v>W</v>
      </c>
      <c r="R62" s="1"/>
      <c r="S62" s="1"/>
      <c r="T62" s="208">
        <f>rh_twb(O42,R42,0,O43,O44,R44,1,12)</f>
        <v>0.006402183367078028</v>
      </c>
      <c r="U62" s="208"/>
      <c r="V62" s="208"/>
      <c r="W62" s="6"/>
      <c r="X62" s="208">
        <f>rh_twb(O42,R42,0,O43,O44,R44,1,22)</f>
        <v>0.014698415198775084</v>
      </c>
      <c r="Y62" s="208"/>
      <c r="Z62" s="208"/>
      <c r="AC62" s="3"/>
      <c r="AK62" s="56" t="str">
        <f>AK55</f>
        <v>W</v>
      </c>
      <c r="AL62" s="34"/>
      <c r="AM62" s="218">
        <f>maprop(O42,R42,T49,O44,R44,8)</f>
        <v>0.006402183367078028</v>
      </c>
      <c r="AN62" s="218"/>
      <c r="AO62" s="218">
        <f>maprop(O43,R43,100,O44,R44,8)</f>
        <v>0.014698415198775084</v>
      </c>
      <c r="AP62" s="218"/>
    </row>
    <row r="63" spans="1:42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8" t="str">
        <f>Q57</f>
        <v>h</v>
      </c>
      <c r="R63" s="1"/>
      <c r="S63" s="6"/>
      <c r="T63" s="210">
        <f>rh_twb(O42,R42,0,O43,O44,R44,1,14)</f>
        <v>13.546743484305955</v>
      </c>
      <c r="U63" s="210"/>
      <c r="V63" s="210"/>
      <c r="W63" s="6" t="s">
        <v>399</v>
      </c>
      <c r="X63" s="109"/>
      <c r="Y63" s="109"/>
      <c r="Z63" s="109"/>
      <c r="AC63" s="3"/>
      <c r="AK63" s="56" t="s">
        <v>302</v>
      </c>
      <c r="AL63" s="34"/>
      <c r="AM63" s="215">
        <f>maprop(O42,R42,T49,O44,R44,3)</f>
        <v>13.546743484305955</v>
      </c>
      <c r="AN63" s="215"/>
      <c r="AO63" s="79"/>
      <c r="AP63" s="79"/>
    </row>
    <row r="64" spans="1:42" ht="9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8" t="s">
        <v>303</v>
      </c>
      <c r="R64" s="1"/>
      <c r="S64" s="6"/>
      <c r="T64" s="210">
        <f>rh_twb(O42,R42,0,O43,O44,R44,1,15)</f>
        <v>19.99617846565396</v>
      </c>
      <c r="U64" s="210"/>
      <c r="V64" s="210"/>
      <c r="W64" s="6"/>
      <c r="X64" s="109"/>
      <c r="Y64" s="109"/>
      <c r="Z64" s="109"/>
      <c r="AA64" s="2" t="s">
        <v>300</v>
      </c>
      <c r="AB64" s="3"/>
      <c r="AK64" s="56"/>
      <c r="AL64" s="34"/>
      <c r="AM64" s="79"/>
      <c r="AN64" s="79"/>
      <c r="AO64" s="79"/>
      <c r="AP64" s="79"/>
    </row>
    <row r="65" spans="1:42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54" t="s">
        <v>304</v>
      </c>
      <c r="R65" s="1"/>
      <c r="S65" s="1"/>
      <c r="T65" s="208">
        <f>(X62-T62)*T64</f>
        <v>0.16589293229905358</v>
      </c>
      <c r="U65" s="208"/>
      <c r="V65" s="208"/>
      <c r="AA65" s="2" t="str">
        <f>"* = ( "&amp;Q62&amp;"s* - "&amp;Q62&amp;" ) x hw"</f>
        <v>* = ( Ws* - W ) x hw</v>
      </c>
      <c r="AC65" s="3"/>
      <c r="AK65" s="57"/>
      <c r="AL65" s="34"/>
      <c r="AM65" s="79"/>
      <c r="AN65" s="79"/>
      <c r="AO65" s="34"/>
      <c r="AP65" s="34"/>
    </row>
    <row r="66" spans="1:42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8" t="s">
        <v>206</v>
      </c>
      <c r="R66" s="1"/>
      <c r="S66" s="1"/>
      <c r="T66" s="210">
        <f>rh_twb(O42,R42,0,O43,O44,R44,1,13)</f>
        <v>13.712636416605008</v>
      </c>
      <c r="U66" s="210"/>
      <c r="V66" s="210"/>
      <c r="W66" s="6"/>
      <c r="X66" s="210">
        <f>rh_twb(O42,R42,0,O43,O44,R44,1,23)</f>
        <v>13.712828054832134</v>
      </c>
      <c r="Y66" s="210"/>
      <c r="Z66" s="210"/>
      <c r="AA66" s="3" t="s">
        <v>305</v>
      </c>
      <c r="AB66" s="3"/>
      <c r="AC66" s="3"/>
      <c r="AD66" s="212">
        <f>(X66/T66-1)*100</f>
        <v>0.0013975301415669605</v>
      </c>
      <c r="AE66" s="212"/>
      <c r="AF66" s="2" t="s">
        <v>217</v>
      </c>
      <c r="AK66" s="58" t="s">
        <v>206</v>
      </c>
      <c r="AL66" s="35"/>
      <c r="AM66" s="80"/>
      <c r="AN66" s="80"/>
      <c r="AO66" s="219">
        <f>maprop(O43,R43,100,O44,R44,3)</f>
        <v>13.712828054832134</v>
      </c>
      <c r="AP66" s="219"/>
    </row>
    <row r="67" spans="1:29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27" t="s">
        <v>301</v>
      </c>
      <c r="R67" s="1"/>
      <c r="S67" s="1"/>
      <c r="T67" s="210">
        <f>T63+T65</f>
        <v>13.712636416605008</v>
      </c>
      <c r="U67" s="210"/>
      <c r="V67" s="210"/>
      <c r="W67" s="3"/>
      <c r="X67" s="3"/>
      <c r="Y67" s="3"/>
      <c r="Z67" s="3"/>
      <c r="AA67" s="3"/>
      <c r="AB67" s="3"/>
      <c r="AC67" s="3"/>
    </row>
    <row r="68" spans="1:29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C68" s="3"/>
    </row>
    <row r="69" spans="1:28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3"/>
      <c r="W69" s="3"/>
      <c r="X69" s="3"/>
      <c r="Y69" s="3"/>
      <c r="Z69" s="3"/>
      <c r="AA69" s="3"/>
      <c r="AB69" s="3"/>
    </row>
    <row r="70" spans="1:28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</row>
    <row r="71" spans="1:29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"/>
      <c r="W71" s="3"/>
      <c r="X71" s="3"/>
      <c r="Y71" s="3"/>
      <c r="Z71" s="3"/>
      <c r="AA71" s="3"/>
      <c r="AB71" s="3"/>
      <c r="AC71" s="3"/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9" t="str">
        <f>cosymbol</f>
        <v> NTES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 t="str">
        <f>coname</f>
        <v>Narai Thermal engineering Services </v>
      </c>
    </row>
    <row r="117" ht="13.5" customHeight="1"/>
    <row r="118" ht="13.5" customHeight="1"/>
  </sheetData>
  <mergeCells count="78">
    <mergeCell ref="AC28:AD28"/>
    <mergeCell ref="T28:V28"/>
    <mergeCell ref="T29:V29"/>
    <mergeCell ref="T57:V57"/>
    <mergeCell ref="AC57:AD57"/>
    <mergeCell ref="T36:V36"/>
    <mergeCell ref="T38:V38"/>
    <mergeCell ref="AK30:AP30"/>
    <mergeCell ref="AK59:AP59"/>
    <mergeCell ref="AO60:AP60"/>
    <mergeCell ref="X33:Z33"/>
    <mergeCell ref="AD37:AE37"/>
    <mergeCell ref="X37:Z37"/>
    <mergeCell ref="X32:Z32"/>
    <mergeCell ref="X31:Z31"/>
    <mergeCell ref="AO66:AP66"/>
    <mergeCell ref="AO31:AP31"/>
    <mergeCell ref="AO32:AP32"/>
    <mergeCell ref="AO33:AP33"/>
    <mergeCell ref="AO37:AP37"/>
    <mergeCell ref="AO61:AP61"/>
    <mergeCell ref="AO62:AP62"/>
    <mergeCell ref="AM63:AN63"/>
    <mergeCell ref="AM31:AN31"/>
    <mergeCell ref="AM32:AN32"/>
    <mergeCell ref="AM33:AN33"/>
    <mergeCell ref="AM34:AN34"/>
    <mergeCell ref="AM60:AN60"/>
    <mergeCell ref="AM61:AN61"/>
    <mergeCell ref="AM62:AN62"/>
    <mergeCell ref="T67:V67"/>
    <mergeCell ref="T56:V56"/>
    <mergeCell ref="T49:V49"/>
    <mergeCell ref="T50:V50"/>
    <mergeCell ref="T51:V51"/>
    <mergeCell ref="T52:V52"/>
    <mergeCell ref="T53:V53"/>
    <mergeCell ref="T62:V62"/>
    <mergeCell ref="T63:V63"/>
    <mergeCell ref="T60:V60"/>
    <mergeCell ref="AD66:AE66"/>
    <mergeCell ref="O44:Q44"/>
    <mergeCell ref="O45:Q45"/>
    <mergeCell ref="X62:Z62"/>
    <mergeCell ref="X66:Z66"/>
    <mergeCell ref="T58:V58"/>
    <mergeCell ref="X60:Z60"/>
    <mergeCell ref="T61:V61"/>
    <mergeCell ref="X61:Z61"/>
    <mergeCell ref="O42:Q42"/>
    <mergeCell ref="O43:Q43"/>
    <mergeCell ref="T66:V66"/>
    <mergeCell ref="T54:V54"/>
    <mergeCell ref="T55:V55"/>
    <mergeCell ref="T64:V64"/>
    <mergeCell ref="T65:V65"/>
    <mergeCell ref="T27:V27"/>
    <mergeCell ref="T26:V26"/>
    <mergeCell ref="T35:V35"/>
    <mergeCell ref="T37:V37"/>
    <mergeCell ref="T32:V32"/>
    <mergeCell ref="T33:V33"/>
    <mergeCell ref="T34:V34"/>
    <mergeCell ref="T31:V31"/>
    <mergeCell ref="T23:V23"/>
    <mergeCell ref="T25:V25"/>
    <mergeCell ref="T22:V22"/>
    <mergeCell ref="T21:V21"/>
    <mergeCell ref="T24:V24"/>
    <mergeCell ref="AC1:AH1"/>
    <mergeCell ref="A2:X4"/>
    <mergeCell ref="AC2:AH2"/>
    <mergeCell ref="AE4:AF4"/>
    <mergeCell ref="O13:Q13"/>
    <mergeCell ref="O14:Q14"/>
    <mergeCell ref="O15:Q15"/>
    <mergeCell ref="T20:V20"/>
    <mergeCell ref="O16:Q16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Z75"/>
  <sheetViews>
    <sheetView view="pageBreakPreview" zoomScaleSheetLayoutView="100" workbookViewId="0" topLeftCell="A1">
      <selection activeCell="AB4" sqref="AB4"/>
    </sheetView>
  </sheetViews>
  <sheetFormatPr defaultColWidth="8.88671875" defaultRowHeight="13.5"/>
  <cols>
    <col min="1" max="36" width="2.3359375" style="2" customWidth="1"/>
    <col min="37" max="63" width="3.77734375" style="2" customWidth="1"/>
    <col min="64" max="16384" width="8.88671875" style="2" customWidth="1"/>
  </cols>
  <sheetData>
    <row r="1" spans="1:34" ht="9.75" customHeight="1">
      <c r="A1" s="33"/>
      <c r="B1" s="95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96" t="s">
        <v>359</v>
      </c>
      <c r="Z1" s="97"/>
      <c r="AA1" s="60"/>
      <c r="AB1" s="97"/>
      <c r="AC1" s="182" t="str">
        <f>docno</f>
        <v>TM - PSY - 100</v>
      </c>
      <c r="AD1" s="145"/>
      <c r="AE1" s="145"/>
      <c r="AF1" s="145"/>
      <c r="AG1" s="145"/>
      <c r="AH1" s="145"/>
    </row>
    <row r="2" spans="1:34" ht="9.75" customHeight="1">
      <c r="A2" s="115" t="str">
        <f>title</f>
        <v>P S Y C H R O M E T R I C S   :     B A S I C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6"/>
      <c r="Y2" s="38" t="s">
        <v>360</v>
      </c>
      <c r="Z2" s="34"/>
      <c r="AA2" s="98"/>
      <c r="AB2" s="34"/>
      <c r="AC2" s="183" t="s">
        <v>361</v>
      </c>
      <c r="AD2" s="119"/>
      <c r="AE2" s="119"/>
      <c r="AF2" s="119"/>
      <c r="AG2" s="119"/>
      <c r="AH2" s="119"/>
    </row>
    <row r="3" spans="1:34" ht="9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  <c r="Y3" s="99" t="s">
        <v>362</v>
      </c>
      <c r="Z3" s="100"/>
      <c r="AA3" s="100"/>
      <c r="AB3" s="100"/>
      <c r="AC3" s="66">
        <v>0</v>
      </c>
      <c r="AD3" s="101">
        <v>1</v>
      </c>
      <c r="AE3" s="101"/>
      <c r="AF3" s="101"/>
      <c r="AG3" s="101"/>
      <c r="AH3" s="70"/>
    </row>
    <row r="4" spans="1:34" ht="9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102" t="s">
        <v>363</v>
      </c>
      <c r="Z4" s="59"/>
      <c r="AA4" s="61"/>
      <c r="AB4" s="59"/>
      <c r="AC4" s="103"/>
      <c r="AD4" s="64">
        <v>6</v>
      </c>
      <c r="AE4" s="184" t="s">
        <v>364</v>
      </c>
      <c r="AF4" s="184"/>
      <c r="AG4" s="78">
        <f>sheetqty</f>
        <v>6</v>
      </c>
      <c r="AH4" s="65"/>
    </row>
    <row r="5" spans="1:34" ht="9.75" customHeight="1">
      <c r="A5" s="6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AH5" s="4"/>
    </row>
    <row r="6" spans="1:34" ht="9.75" customHeight="1">
      <c r="A6" s="6"/>
      <c r="B6" s="1"/>
      <c r="C6" s="6"/>
      <c r="D6" s="6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Y6" s="6"/>
      <c r="AH6" s="3"/>
    </row>
    <row r="7" spans="1:29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AC7" s="3"/>
    </row>
    <row r="8" spans="1:33" ht="9.75" customHeight="1">
      <c r="A8" s="6"/>
      <c r="B8" s="6"/>
      <c r="C8" s="11" t="s">
        <v>120</v>
      </c>
      <c r="D8" s="14" t="s">
        <v>121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9.75" customHeight="1">
      <c r="A9" s="6"/>
      <c r="B9" s="6"/>
      <c r="C9" s="1"/>
      <c r="D9" s="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37" ht="9.75" customHeight="1">
      <c r="A11" s="1"/>
      <c r="B11" s="1"/>
      <c r="C11" s="21" t="s">
        <v>174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22" t="s">
        <v>175</v>
      </c>
      <c r="O11" s="8" t="s">
        <v>177</v>
      </c>
      <c r="P11" s="1" t="s">
        <v>56</v>
      </c>
      <c r="Q11" s="167">
        <v>101.325</v>
      </c>
      <c r="R11" s="167"/>
      <c r="S11" s="167"/>
      <c r="T11" s="14" t="s">
        <v>218</v>
      </c>
      <c r="U11" s="1"/>
      <c r="V11" s="22" t="s">
        <v>176</v>
      </c>
      <c r="W11" s="1"/>
      <c r="X11" s="1"/>
      <c r="Y11" s="1"/>
      <c r="Z11" s="1"/>
      <c r="AA11" s="1"/>
      <c r="AB11" s="6"/>
      <c r="AC11" s="6"/>
      <c r="AD11" s="1"/>
      <c r="AE11" s="1"/>
      <c r="AF11" s="1"/>
      <c r="AG11" s="1"/>
      <c r="AH11" s="1"/>
      <c r="AK11" s="105" t="str">
        <f>w_name</f>
        <v>Humidity Ratio</v>
      </c>
    </row>
    <row r="12" spans="1:37" ht="9.75" customHeight="1">
      <c r="A12" s="6"/>
      <c r="B12" s="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  <c r="AE12" s="37"/>
      <c r="AF12" s="37"/>
      <c r="AG12" s="37"/>
      <c r="AH12" s="37"/>
      <c r="AK12" s="31" t="str">
        <f>w_symbol</f>
        <v>W</v>
      </c>
    </row>
    <row r="13" spans="1:34" ht="9.75" customHeight="1">
      <c r="A13" s="6"/>
      <c r="B13" s="6"/>
      <c r="C13" s="137" t="s">
        <v>192</v>
      </c>
      <c r="D13" s="303"/>
      <c r="E13" s="300" t="s">
        <v>193</v>
      </c>
      <c r="F13" s="196"/>
      <c r="G13" s="196"/>
      <c r="H13" s="196"/>
      <c r="I13" s="196"/>
      <c r="J13" s="196"/>
      <c r="K13" s="196"/>
      <c r="L13" s="196"/>
      <c r="M13" s="306"/>
      <c r="N13" s="300" t="s">
        <v>32</v>
      </c>
      <c r="O13" s="196"/>
      <c r="P13" s="196"/>
      <c r="Q13" s="196"/>
      <c r="R13" s="196"/>
      <c r="S13" s="306"/>
      <c r="T13" s="196" t="s">
        <v>180</v>
      </c>
      <c r="U13" s="196"/>
      <c r="V13" s="196"/>
      <c r="W13" s="300" t="s">
        <v>183</v>
      </c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</row>
    <row r="14" spans="1:39" ht="9.75" customHeight="1">
      <c r="A14" s="6"/>
      <c r="B14" s="6"/>
      <c r="C14" s="304"/>
      <c r="D14" s="305"/>
      <c r="E14" s="301" t="s">
        <v>314</v>
      </c>
      <c r="F14" s="247"/>
      <c r="G14" s="247"/>
      <c r="H14" s="247"/>
      <c r="I14" s="247"/>
      <c r="J14" s="247"/>
      <c r="K14" s="246" t="s">
        <v>195</v>
      </c>
      <c r="L14" s="247"/>
      <c r="M14" s="248"/>
      <c r="N14" s="247" t="s">
        <v>178</v>
      </c>
      <c r="O14" s="247"/>
      <c r="P14" s="247"/>
      <c r="Q14" s="246" t="s">
        <v>179</v>
      </c>
      <c r="R14" s="247"/>
      <c r="S14" s="248"/>
      <c r="T14" s="247" t="s">
        <v>408</v>
      </c>
      <c r="U14" s="247"/>
      <c r="V14" s="247"/>
      <c r="W14" s="301" t="s">
        <v>199</v>
      </c>
      <c r="X14" s="247"/>
      <c r="Y14" s="247"/>
      <c r="Z14" s="246" t="s">
        <v>198</v>
      </c>
      <c r="AA14" s="247"/>
      <c r="AB14" s="247"/>
      <c r="AC14" s="301" t="s">
        <v>199</v>
      </c>
      <c r="AD14" s="247"/>
      <c r="AE14" s="262"/>
      <c r="AF14" s="247" t="s">
        <v>198</v>
      </c>
      <c r="AG14" s="247"/>
      <c r="AH14" s="247"/>
      <c r="AM14" s="40" t="s">
        <v>215</v>
      </c>
    </row>
    <row r="15" spans="1:47" ht="9.75" customHeight="1">
      <c r="A15" s="1"/>
      <c r="B15" s="1"/>
      <c r="C15" s="289" t="s">
        <v>24</v>
      </c>
      <c r="D15" s="289"/>
      <c r="E15" s="261" t="str">
        <f>T11</f>
        <v>kPa.a</v>
      </c>
      <c r="F15" s="251"/>
      <c r="G15" s="251"/>
      <c r="H15" s="140" t="s">
        <v>219</v>
      </c>
      <c r="I15" s="291"/>
      <c r="J15" s="291"/>
      <c r="K15" s="291"/>
      <c r="L15" s="291"/>
      <c r="M15" s="302"/>
      <c r="N15" s="261" t="s">
        <v>196</v>
      </c>
      <c r="O15" s="251"/>
      <c r="P15" s="260"/>
      <c r="Q15" s="259" t="s">
        <v>188</v>
      </c>
      <c r="R15" s="251"/>
      <c r="S15" s="290"/>
      <c r="T15" s="261" t="s">
        <v>197</v>
      </c>
      <c r="U15" s="251"/>
      <c r="V15" s="290"/>
      <c r="W15" s="261" t="s">
        <v>293</v>
      </c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M15" s="41" t="s">
        <v>307</v>
      </c>
      <c r="AN15" s="31" t="s">
        <v>202</v>
      </c>
      <c r="AU15" s="31" t="s">
        <v>203</v>
      </c>
    </row>
    <row r="16" spans="1:51" ht="9.75" customHeight="1">
      <c r="A16" s="1"/>
      <c r="B16" s="1"/>
      <c r="C16" s="211" t="s">
        <v>194</v>
      </c>
      <c r="D16" s="211"/>
      <c r="E16" s="244" t="s">
        <v>240</v>
      </c>
      <c r="F16" s="211"/>
      <c r="G16" s="211"/>
      <c r="H16" s="255"/>
      <c r="I16" s="211"/>
      <c r="J16" s="211"/>
      <c r="K16" s="211"/>
      <c r="L16" s="211"/>
      <c r="M16" s="245"/>
      <c r="N16" s="211" t="s">
        <v>315</v>
      </c>
      <c r="O16" s="211"/>
      <c r="P16" s="211"/>
      <c r="Q16" s="255" t="s">
        <v>133</v>
      </c>
      <c r="R16" s="211"/>
      <c r="S16" s="245"/>
      <c r="T16" s="211" t="str">
        <f>AK12&amp;"s"</f>
        <v>Ws</v>
      </c>
      <c r="U16" s="211"/>
      <c r="V16" s="211"/>
      <c r="W16" s="244" t="s">
        <v>181</v>
      </c>
      <c r="X16" s="211"/>
      <c r="Y16" s="211"/>
      <c r="Z16" s="211"/>
      <c r="AA16" s="211"/>
      <c r="AB16" s="245"/>
      <c r="AC16" s="244" t="s">
        <v>182</v>
      </c>
      <c r="AD16" s="211"/>
      <c r="AE16" s="211"/>
      <c r="AF16" s="211"/>
      <c r="AG16" s="211"/>
      <c r="AH16" s="211"/>
      <c r="AK16" s="268" t="s">
        <v>182</v>
      </c>
      <c r="AL16" s="268"/>
      <c r="AM16" s="299"/>
      <c r="AN16" s="286" t="s">
        <v>200</v>
      </c>
      <c r="AO16" s="284"/>
      <c r="AP16" s="284" t="str">
        <f>dacg1</f>
        <v>N2</v>
      </c>
      <c r="AQ16" s="284"/>
      <c r="AR16" s="284" t="str">
        <f>dacg2</f>
        <v>O2</v>
      </c>
      <c r="AS16" s="284"/>
      <c r="AT16" s="284" t="str">
        <f>dacg3</f>
        <v>Ar</v>
      </c>
      <c r="AU16" s="284"/>
      <c r="AV16" s="284" t="str">
        <f>dacg4</f>
        <v>CO2</v>
      </c>
      <c r="AW16" s="285"/>
      <c r="AX16" s="275" t="s">
        <v>201</v>
      </c>
      <c r="AY16" s="189"/>
    </row>
    <row r="17" spans="1:51" ht="9.75" customHeight="1">
      <c r="A17" s="1"/>
      <c r="B17" s="1"/>
      <c r="C17" s="120">
        <v>1</v>
      </c>
      <c r="D17" s="120"/>
      <c r="E17" s="288">
        <f aca="true" t="shared" si="0" ref="E17:E31">EXP(pwsc8/(C17+273.15)+pwsc9+pwsc10*(C17+273.15)+pwsc11*(C17+273.15)^2+pwsc12*(C17+273.15)^3+pwsc13*LN(C17+273.15))</f>
        <v>0.6570717041711328</v>
      </c>
      <c r="F17" s="217"/>
      <c r="G17" s="217"/>
      <c r="H17" s="293">
        <f>pressconv(E17,upsg(E15),upsg(H15))</f>
        <v>0.006700266698323412</v>
      </c>
      <c r="I17" s="294"/>
      <c r="J17" s="294"/>
      <c r="K17" s="293">
        <f>pressconv(fprop("Saturated","H2O L.P.",C17,C15,0,"","Yes",0,1,10)+1.033227,"kg/cm2.g",upsg(H15))</f>
        <v>0.006700433370395276</v>
      </c>
      <c r="L17" s="294"/>
      <c r="M17" s="297"/>
      <c r="N17" s="217">
        <f>E17/Q11</f>
        <v>0.006484793527472319</v>
      </c>
      <c r="O17" s="217"/>
      <c r="P17" s="217"/>
      <c r="Q17" s="237">
        <f aca="true" t="shared" si="1" ref="Q17:Q31">(mwwv/mwda)*N17/(1-(1-(mwwv/mwda))*N17)</f>
        <v>0.004043292378084887</v>
      </c>
      <c r="R17" s="217"/>
      <c r="S17" s="238"/>
      <c r="T17" s="217">
        <f aca="true" t="shared" si="2" ref="T17:T31">(mwwv/mwda)*N17/(1-N17)</f>
        <v>0.004059706960294705</v>
      </c>
      <c r="U17" s="217"/>
      <c r="V17" s="217"/>
      <c r="W17" s="288">
        <f>ugconst*(C17+273.15)/mwda/(1000*Q11)</f>
        <v>0.7766709090362905</v>
      </c>
      <c r="X17" s="217"/>
      <c r="Y17" s="217"/>
      <c r="Z17" s="237">
        <f>fprop("Vapor","Dry Air",C17,C15,pressconv(Q11,upsg(T11),"kg/cm2.g")-1.033227,"kg/cm2.g","",0,0,1)</f>
        <v>0.776670648436797</v>
      </c>
      <c r="AA17" s="217"/>
      <c r="AB17" s="217"/>
      <c r="AC17" s="288">
        <f>ugconst*(C17+273.15)/mwda/(1000*Q11)*(1+1/(mwwv/mwda)*T17)</f>
        <v>0.7817403336923829</v>
      </c>
      <c r="AD17" s="217"/>
      <c r="AE17" s="264"/>
      <c r="AF17" s="237">
        <f aca="true" t="shared" si="3" ref="AF17:AF31">AK17/(1-Q17)</f>
        <v>0.7817329152056355</v>
      </c>
      <c r="AG17" s="217"/>
      <c r="AH17" s="217"/>
      <c r="AK17" s="217">
        <f>gmprop(C17,C15,pressconv(Q11,upsg(T11),"kg/cm2.g")-1.033227,"kg/cm2.g",AN16,AP16,AR16,AT16,AV16,"","","","","",AN17,AP17,AR17,AT17,AV17,0,0,0,0,0,AU15,1)</f>
        <v>0.7785721404678865</v>
      </c>
      <c r="AL17" s="217"/>
      <c r="AM17" s="238"/>
      <c r="AN17" s="287">
        <f>N17*100</f>
        <v>0.6484793527472319</v>
      </c>
      <c r="AO17" s="282"/>
      <c r="AP17" s="282">
        <f aca="true" t="shared" si="4" ref="AP17:AP31">(100-AN17)*dapgv1/100</f>
        <v>77.57996878126428</v>
      </c>
      <c r="AQ17" s="282"/>
      <c r="AR17" s="282">
        <f aca="true" t="shared" si="5" ref="AR17:AR31">(100-AN17)*dapgv2/100</f>
        <v>20.812383510609237</v>
      </c>
      <c r="AS17" s="282"/>
      <c r="AT17" s="282">
        <f aca="true" t="shared" si="6" ref="AT17:AT31">(100-AN17)*dapgv3/100</f>
        <v>0.9279710419766002</v>
      </c>
      <c r="AU17" s="282"/>
      <c r="AV17" s="282">
        <f aca="true" t="shared" si="7" ref="AV17:AV31">(100-AN17)*dapgv4/100</f>
        <v>0.031197313402639447</v>
      </c>
      <c r="AW17" s="283"/>
      <c r="AX17" s="276">
        <f>SUM(AN17:AW17)</f>
        <v>100</v>
      </c>
      <c r="AY17" s="277"/>
    </row>
    <row r="18" spans="1:51" ht="9.75" customHeight="1">
      <c r="A18" s="6"/>
      <c r="B18" s="6"/>
      <c r="C18" s="291">
        <v>5</v>
      </c>
      <c r="D18" s="291"/>
      <c r="E18" s="266">
        <f t="shared" si="0"/>
        <v>0.8724866359262207</v>
      </c>
      <c r="F18" s="218"/>
      <c r="G18" s="218"/>
      <c r="H18" s="295">
        <f>pressconv(E18,upsg(E15),upsg(H15))</f>
        <v>0.008896887682605383</v>
      </c>
      <c r="I18" s="296"/>
      <c r="J18" s="296"/>
      <c r="K18" s="295">
        <f>pressconv(fprop("Saturated","H2O L.P.",C18,C15,0,"","Yes",0,1,10)+1.033227,"kg/cm2.g",upsg(H15))</f>
        <v>0.008897787329307238</v>
      </c>
      <c r="L18" s="296"/>
      <c r="M18" s="298"/>
      <c r="N18" s="218">
        <f>E18/Q11</f>
        <v>0.008610773608943703</v>
      </c>
      <c r="O18" s="218"/>
      <c r="P18" s="218"/>
      <c r="Q18" s="224">
        <f t="shared" si="1"/>
        <v>0.005373177591389552</v>
      </c>
      <c r="R18" s="218"/>
      <c r="S18" s="243"/>
      <c r="T18" s="218">
        <f t="shared" si="2"/>
        <v>0.005402204596069253</v>
      </c>
      <c r="U18" s="218"/>
      <c r="V18" s="218"/>
      <c r="W18" s="266">
        <f>ugconst*(C18+273.15)/mwda/(1000*Q11)</f>
        <v>0.788002966800818</v>
      </c>
      <c r="X18" s="218"/>
      <c r="Y18" s="218"/>
      <c r="Z18" s="224">
        <f>fprop("Vapor","Dry Air",C18,C15,pressconv(Q11,upsg(T11),"kg/cm2.g")-1.033227,"kg/cm2.g","",0,0,1)</f>
        <v>0.7880027023990337</v>
      </c>
      <c r="AA18" s="218"/>
      <c r="AB18" s="218"/>
      <c r="AC18" s="266">
        <f>ugconst*(C18+273.15)/mwda/(1000*Q11)*(1+1/(mwwv/mwda)*T18)</f>
        <v>0.794847216233504</v>
      </c>
      <c r="AD18" s="218"/>
      <c r="AE18" s="242"/>
      <c r="AF18" s="224">
        <f t="shared" si="3"/>
        <v>0.7948396830819453</v>
      </c>
      <c r="AG18" s="218"/>
      <c r="AH18" s="218"/>
      <c r="AK18" s="218">
        <f>gmprop(C18,C15,pressconv(Q11,upsg(T11),"kg/cm2.g")-1.033227,"kg/cm2.g",AN16,AP16,AR16,AT16,AV16,"","","","","",AN18,AP18,AR18,AT18,AV18,0,0,0,0,0,AU15,1)</f>
        <v>0.7905688683080622</v>
      </c>
      <c r="AL18" s="218"/>
      <c r="AM18" s="243"/>
      <c r="AN18" s="281">
        <f aca="true" t="shared" si="8" ref="AN18:AN30">N18*100</f>
        <v>0.8610773608943703</v>
      </c>
      <c r="AO18" s="279"/>
      <c r="AP18" s="279">
        <f t="shared" si="4"/>
        <v>77.41395877228241</v>
      </c>
      <c r="AQ18" s="279"/>
      <c r="AR18" s="279">
        <f t="shared" si="5"/>
        <v>20.76784799418912</v>
      </c>
      <c r="AS18" s="279"/>
      <c r="AT18" s="279">
        <f t="shared" si="6"/>
        <v>0.925985317008757</v>
      </c>
      <c r="AU18" s="279"/>
      <c r="AV18" s="279">
        <f t="shared" si="7"/>
        <v>0.031130555625347927</v>
      </c>
      <c r="AW18" s="280"/>
      <c r="AX18" s="269">
        <f aca="true" t="shared" si="9" ref="AX18:AX31">SUM(AN18:AW18)</f>
        <v>100.00000000000001</v>
      </c>
      <c r="AY18" s="270"/>
    </row>
    <row r="19" spans="1:51" ht="9.75" customHeight="1">
      <c r="A19" s="1"/>
      <c r="B19" s="1"/>
      <c r="C19" s="291">
        <v>10</v>
      </c>
      <c r="D19" s="291"/>
      <c r="E19" s="266">
        <f t="shared" si="0"/>
        <v>1.2279952496309328</v>
      </c>
      <c r="F19" s="218"/>
      <c r="G19" s="218"/>
      <c r="H19" s="224">
        <f>pressconv(E19,upsg(E15),upsg(H15))</f>
        <v>0.012522066655085404</v>
      </c>
      <c r="I19" s="218"/>
      <c r="J19" s="218"/>
      <c r="K19" s="224">
        <f>pressconv(fprop("Saturated","H2O L.P.",C19,C15,0,"","Yes",0,1,10)+1.033227,"kg/cm2.g",upsg(H15))</f>
        <v>0.012523990040841593</v>
      </c>
      <c r="L19" s="218"/>
      <c r="M19" s="243"/>
      <c r="N19" s="218">
        <f>E19/Q11</f>
        <v>0.012119370832775058</v>
      </c>
      <c r="O19" s="218"/>
      <c r="P19" s="218"/>
      <c r="Q19" s="224">
        <f t="shared" si="1"/>
        <v>0.007572641286004406</v>
      </c>
      <c r="R19" s="218"/>
      <c r="S19" s="243"/>
      <c r="T19" s="218">
        <f t="shared" si="2"/>
        <v>0.007630423747907518</v>
      </c>
      <c r="U19" s="218"/>
      <c r="V19" s="218"/>
      <c r="W19" s="266">
        <f>ugconst*(C19+273.15)/mwda/(1000*Q11)</f>
        <v>0.8021680390064772</v>
      </c>
      <c r="X19" s="218"/>
      <c r="Y19" s="218"/>
      <c r="Z19" s="224">
        <f>fprop("Vapor","Dry Air",C19,C15,pressconv(Q11,upsg(T11),"kg/cm2.g")-1.033227,"kg/cm2.g","",0,0,1)</f>
        <v>0.8021677698518295</v>
      </c>
      <c r="AA19" s="218"/>
      <c r="AB19" s="218"/>
      <c r="AC19" s="266">
        <f>ugconst*(C19+273.15)/mwda/(1000*Q11)*(1+1/(mwwv/mwda)*T19)</f>
        <v>0.8120090781440851</v>
      </c>
      <c r="AD19" s="218"/>
      <c r="AE19" s="242"/>
      <c r="AF19" s="224">
        <f t="shared" si="3"/>
        <v>0.812001398756694</v>
      </c>
      <c r="AG19" s="218"/>
      <c r="AH19" s="218"/>
      <c r="AK19" s="218">
        <f>gmprop(C19,C15,pressconv(Q11,upsg(T11),"kg/cm2.g")-1.033227,"kg/cm2.g",AN16,AP16,AR16,AT16,AV16,"","","","","",AN19,AP19,AR19,AT19,AV19,0,0,0,0,0,AU15,1)</f>
        <v>0.8058524034401757</v>
      </c>
      <c r="AL19" s="218"/>
      <c r="AM19" s="243"/>
      <c r="AN19" s="281">
        <f t="shared" si="8"/>
        <v>1.2119370832775058</v>
      </c>
      <c r="AO19" s="279"/>
      <c r="AP19" s="279">
        <f t="shared" si="4"/>
        <v>77.13998524745101</v>
      </c>
      <c r="AQ19" s="279"/>
      <c r="AR19" s="279">
        <f t="shared" si="5"/>
        <v>20.6943490980163</v>
      </c>
      <c r="AS19" s="279"/>
      <c r="AT19" s="279">
        <f t="shared" si="6"/>
        <v>0.9227081888878549</v>
      </c>
      <c r="AU19" s="279"/>
      <c r="AV19" s="279">
        <f t="shared" si="7"/>
        <v>0.031020382367321884</v>
      </c>
      <c r="AW19" s="280"/>
      <c r="AX19" s="269">
        <f t="shared" si="9"/>
        <v>99.99999999999999</v>
      </c>
      <c r="AY19" s="270"/>
    </row>
    <row r="20" spans="1:51" ht="9.75" customHeight="1">
      <c r="A20" s="6"/>
      <c r="B20" s="6"/>
      <c r="C20" s="291">
        <v>15</v>
      </c>
      <c r="D20" s="291"/>
      <c r="E20" s="266">
        <f t="shared" si="0"/>
        <v>1.7054477585966532</v>
      </c>
      <c r="F20" s="218"/>
      <c r="G20" s="218"/>
      <c r="H20" s="224">
        <f>pressconv(E20,upsg(E15),upsg(H15))</f>
        <v>0.01739072729827875</v>
      </c>
      <c r="I20" s="218"/>
      <c r="J20" s="218"/>
      <c r="K20" s="224">
        <f>pressconv(fprop("Saturated","H2O L.P.",C20,C15,0,"","Yes",0,1,10)+1.033227,"kg/cm2.g",upsg(H15))</f>
        <v>0.017393757036218815</v>
      </c>
      <c r="L20" s="218"/>
      <c r="M20" s="243"/>
      <c r="N20" s="218">
        <f>E20/Q11</f>
        <v>0.01683146073127711</v>
      </c>
      <c r="O20" s="218"/>
      <c r="P20" s="218"/>
      <c r="Q20" s="224">
        <f t="shared" si="1"/>
        <v>0.010535786915715172</v>
      </c>
      <c r="R20" s="218"/>
      <c r="S20" s="243"/>
      <c r="T20" s="218">
        <f t="shared" si="2"/>
        <v>0.010647971676382104</v>
      </c>
      <c r="U20" s="218"/>
      <c r="V20" s="218"/>
      <c r="W20" s="266">
        <f>ugconst*(C20+273.15)/mwda/(1000*Q11)</f>
        <v>0.8163331112121361</v>
      </c>
      <c r="X20" s="218"/>
      <c r="Y20" s="218"/>
      <c r="Z20" s="224">
        <f>fprop("Vapor","Dry Air",C20,C15,pressconv(Q11,upsg(T11),"kg/cm2.g")-1.033227,"kg/cm2.g","",0,0,1)</f>
        <v>0.8163328373046254</v>
      </c>
      <c r="AA20" s="218"/>
      <c r="AB20" s="218"/>
      <c r="AC20" s="266">
        <f>ugconst*(C20+273.15)/mwda/(1000*Q11)*(1+1/(mwwv/mwda)*T20)</f>
        <v>0.8303084146888199</v>
      </c>
      <c r="AD20" s="218"/>
      <c r="AE20" s="242"/>
      <c r="AF20" s="224">
        <f t="shared" si="3"/>
        <v>0.8303005848531684</v>
      </c>
      <c r="AG20" s="218"/>
      <c r="AH20" s="218"/>
      <c r="AK20" s="218">
        <f>gmprop(C20,C15,pressconv(Q11,upsg(T11),"kg/cm2.g")-1.033227,"kg/cm2.g",AN16,AP16,AR16,AT16,AV16,"","","","","",AN20,AP20,AR20,AT20,AV20,0,0,0,0,0,AU15,1)</f>
        <v>0.8215527148151617</v>
      </c>
      <c r="AL20" s="218"/>
      <c r="AM20" s="243"/>
      <c r="AN20" s="281">
        <f t="shared" si="8"/>
        <v>1.683146073127711</v>
      </c>
      <c r="AO20" s="279"/>
      <c r="AP20" s="279">
        <f t="shared" si="4"/>
        <v>76.77203538132039</v>
      </c>
      <c r="AQ20" s="279"/>
      <c r="AR20" s="279">
        <f t="shared" si="5"/>
        <v>20.59563916236037</v>
      </c>
      <c r="AS20" s="279"/>
      <c r="AT20" s="279">
        <f t="shared" si="6"/>
        <v>0.9183069648859338</v>
      </c>
      <c r="AU20" s="279"/>
      <c r="AV20" s="279">
        <f t="shared" si="7"/>
        <v>0.030872418305587065</v>
      </c>
      <c r="AW20" s="280"/>
      <c r="AX20" s="269">
        <f t="shared" si="9"/>
        <v>100</v>
      </c>
      <c r="AY20" s="270"/>
    </row>
    <row r="21" spans="1:51" ht="9.75" customHeight="1">
      <c r="A21" s="6"/>
      <c r="B21" s="6"/>
      <c r="C21" s="291">
        <v>20</v>
      </c>
      <c r="D21" s="291"/>
      <c r="E21" s="266">
        <f t="shared" si="0"/>
        <v>2.3388036509173142</v>
      </c>
      <c r="F21" s="218"/>
      <c r="G21" s="218"/>
      <c r="H21" s="224">
        <f>pressconv(E21,upsg(E15),upsg(H15))</f>
        <v>0.02384916001812356</v>
      </c>
      <c r="I21" s="218"/>
      <c r="J21" s="218"/>
      <c r="K21" s="224">
        <f>pressconv(fprop("Saturated","H2O L.P.",C21,C15,0,"","Yes",0,1,10)+1.033227,"kg/cm2.g",upsg(H15))</f>
        <v>0.023853352233197622</v>
      </c>
      <c r="L21" s="218"/>
      <c r="M21" s="243"/>
      <c r="N21" s="218">
        <f>E21/Q11</f>
        <v>0.02308219739370653</v>
      </c>
      <c r="O21" s="218"/>
      <c r="P21" s="218"/>
      <c r="Q21" s="224">
        <f t="shared" si="1"/>
        <v>0.014482926654376622</v>
      </c>
      <c r="R21" s="218"/>
      <c r="S21" s="243"/>
      <c r="T21" s="218">
        <f t="shared" si="2"/>
        <v>0.014695764331317092</v>
      </c>
      <c r="U21" s="218"/>
      <c r="V21" s="218"/>
      <c r="W21" s="266">
        <f>ugconst*(C21+273.15)/mwda/(1000*Q11)</f>
        <v>0.8304981834177954</v>
      </c>
      <c r="X21" s="218"/>
      <c r="Y21" s="218"/>
      <c r="Z21" s="224">
        <f>fprop("Vapor","Dry Air",C21,C15,pressconv(Q11,upsg(T11),"kg/cm2.g")-1.033227,"kg/cm2.g","",0,0,1)</f>
        <v>0.8304979047574212</v>
      </c>
      <c r="AA21" s="218"/>
      <c r="AB21" s="218"/>
      <c r="AC21" s="266">
        <f>ugconst*(C21+273.15)/mwda/(1000*Q11)*(1+1/(mwwv/mwda)*T21)</f>
        <v>0.8501208404659338</v>
      </c>
      <c r="AD21" s="218"/>
      <c r="AE21" s="242"/>
      <c r="AF21" s="224">
        <f t="shared" si="3"/>
        <v>0.8501128546401271</v>
      </c>
      <c r="AG21" s="218"/>
      <c r="AH21" s="218"/>
      <c r="AK21" s="218">
        <f>gmprop(C21,C15,pressconv(Q11,upsg(T11),"kg/cm2.g")-1.033227,"kg/cm2.g",AN16,AP16,AR16,AT16,AV16,"","","","","",AN21,AP21,AR21,AT21,AV21,0,0,0,0,0,AU15,1)</f>
        <v>0.8378007325184313</v>
      </c>
      <c r="AL21" s="218"/>
      <c r="AM21" s="243"/>
      <c r="AN21" s="281">
        <f t="shared" si="8"/>
        <v>2.308219739370653</v>
      </c>
      <c r="AO21" s="279"/>
      <c r="AP21" s="279">
        <f t="shared" si="4"/>
        <v>76.28393821685633</v>
      </c>
      <c r="AQ21" s="279"/>
      <c r="AR21" s="279">
        <f t="shared" si="5"/>
        <v>20.464697302794676</v>
      </c>
      <c r="AS21" s="279"/>
      <c r="AT21" s="279">
        <f t="shared" si="6"/>
        <v>0.9124686016923289</v>
      </c>
      <c r="AU21" s="279"/>
      <c r="AV21" s="279">
        <f t="shared" si="7"/>
        <v>0.03067613928601619</v>
      </c>
      <c r="AW21" s="280"/>
      <c r="AX21" s="269">
        <f t="shared" si="9"/>
        <v>100</v>
      </c>
      <c r="AY21" s="270"/>
    </row>
    <row r="22" spans="1:51" ht="9.75" customHeight="1">
      <c r="A22" s="1"/>
      <c r="B22" s="1"/>
      <c r="C22" s="291">
        <v>25</v>
      </c>
      <c r="D22" s="291"/>
      <c r="E22" s="266">
        <f t="shared" si="0"/>
        <v>3.169216403533432</v>
      </c>
      <c r="F22" s="218"/>
      <c r="G22" s="218"/>
      <c r="H22" s="224">
        <f>pressconv(E22,upsg(E15),upsg(H15))</f>
        <v>0.03231701349118641</v>
      </c>
      <c r="I22" s="218"/>
      <c r="J22" s="218"/>
      <c r="K22" s="224">
        <f>pressconv(fprop("Saturated","H2O L.P.",C22,C15,0,"","Yes",0,1,10)+1.033227,"kg/cm2.g",upsg(H15))</f>
        <v>0.03232242259030693</v>
      </c>
      <c r="L22" s="218"/>
      <c r="M22" s="243"/>
      <c r="N22" s="218">
        <f>E22/Q11</f>
        <v>0.03127773405905188</v>
      </c>
      <c r="O22" s="218"/>
      <c r="P22" s="218"/>
      <c r="Q22" s="224">
        <f t="shared" si="1"/>
        <v>0.01968674551429759</v>
      </c>
      <c r="R22" s="218"/>
      <c r="S22" s="243"/>
      <c r="T22" s="218">
        <f t="shared" si="2"/>
        <v>0.020082096640247675</v>
      </c>
      <c r="U22" s="218"/>
      <c r="V22" s="218"/>
      <c r="W22" s="266">
        <f>ugconst*(C22+273.15)/mwda/(1000*Q11)</f>
        <v>0.8446632556234545</v>
      </c>
      <c r="X22" s="218"/>
      <c r="Y22" s="218"/>
      <c r="Z22" s="224">
        <f>fprop("Vapor","Dry Air",C22,C15,pressconv(Q11,upsg(T11),"kg/cm2.g")-1.033227,"kg/cm2.g","",0,0,1)</f>
        <v>0.8446629722102171</v>
      </c>
      <c r="AA22" s="218"/>
      <c r="AB22" s="218"/>
      <c r="AC22" s="266">
        <f>ugconst*(C22+273.15)/mwda/(1000*Q11)*(1+1/(mwwv/mwda)*T22)</f>
        <v>0.8719354198006469</v>
      </c>
      <c r="AD22" s="218"/>
      <c r="AE22" s="242"/>
      <c r="AF22" s="224">
        <f t="shared" si="3"/>
        <v>0.8719272707583968</v>
      </c>
      <c r="AG22" s="218"/>
      <c r="AH22" s="218"/>
      <c r="AK22" s="218">
        <f>gmprop(C22,C15,pressconv(Q11,upsg(T11),"kg/cm2.g")-1.033227,"kg/cm2.g",AN16,AP16,AR16,AT16,AV16,"","","","","",AN22,AP22,AR22,AT22,AV22,0,0,0,0,0,AU15,1)</f>
        <v>0.8547618604720002</v>
      </c>
      <c r="AL22" s="218"/>
      <c r="AM22" s="243"/>
      <c r="AN22" s="281">
        <f t="shared" si="8"/>
        <v>3.1277734059051885</v>
      </c>
      <c r="AO22" s="279"/>
      <c r="AP22" s="279">
        <f t="shared" si="4"/>
        <v>75.643978733095</v>
      </c>
      <c r="AQ22" s="279"/>
      <c r="AR22" s="279">
        <f t="shared" si="5"/>
        <v>20.293015328484458</v>
      </c>
      <c r="AS22" s="279"/>
      <c r="AT22" s="279">
        <f t="shared" si="6"/>
        <v>0.9048137408010696</v>
      </c>
      <c r="AU22" s="279"/>
      <c r="AV22" s="279">
        <f t="shared" si="7"/>
        <v>0.0304187917142972</v>
      </c>
      <c r="AW22" s="280"/>
      <c r="AX22" s="269">
        <f t="shared" si="9"/>
        <v>100.00000000000001</v>
      </c>
      <c r="AY22" s="270"/>
    </row>
    <row r="23" spans="1:51" ht="9.75" customHeight="1">
      <c r="A23" s="6"/>
      <c r="B23" s="6"/>
      <c r="C23" s="291">
        <v>30</v>
      </c>
      <c r="D23" s="291"/>
      <c r="E23" s="266">
        <f t="shared" si="0"/>
        <v>4.246030154350102</v>
      </c>
      <c r="F23" s="218"/>
      <c r="G23" s="218"/>
      <c r="H23" s="224">
        <f>pressconv(E23,upsg(E15),upsg(H15))</f>
        <v>0.04329745789183974</v>
      </c>
      <c r="I23" s="218"/>
      <c r="J23" s="218"/>
      <c r="K23" s="224">
        <f>pressconv(fprop("Saturated","H2O L.P.",C23,C15,0,"","Yes",0,1,10)+1.033227,"kg/cm2.g",upsg(H15))</f>
        <v>0.0433041695232117</v>
      </c>
      <c r="L23" s="218"/>
      <c r="M23" s="243"/>
      <c r="N23" s="218">
        <f>E23/Q11</f>
        <v>0.04190505950505898</v>
      </c>
      <c r="O23" s="218"/>
      <c r="P23" s="218"/>
      <c r="Q23" s="224">
        <f t="shared" si="1"/>
        <v>0.026483434919469463</v>
      </c>
      <c r="R23" s="218"/>
      <c r="S23" s="243"/>
      <c r="T23" s="218">
        <f t="shared" si="2"/>
        <v>0.027203887298290316</v>
      </c>
      <c r="U23" s="218"/>
      <c r="V23" s="218"/>
      <c r="W23" s="266">
        <f>ugconst*(C23+273.15)/mwda/(1000*Q11)</f>
        <v>0.8588283278291138</v>
      </c>
      <c r="X23" s="218"/>
      <c r="Y23" s="218"/>
      <c r="Z23" s="224">
        <f>fprop("Vapor","Dry Air",C23,C15,pressconv(Q11,upsg(T11),"kg/cm2.g")-1.033227,"kg/cm2.g","",0,0,1)</f>
        <v>0.8588280396630129</v>
      </c>
      <c r="AA23" s="218"/>
      <c r="AB23" s="218"/>
      <c r="AC23" s="266">
        <f>ugconst*(C23+273.15)/mwda/(1000*Q11)*(1+1/(mwwv/mwda)*T23)</f>
        <v>0.8963916742796416</v>
      </c>
      <c r="AD23" s="218"/>
      <c r="AE23" s="242"/>
      <c r="AF23" s="224">
        <f t="shared" si="3"/>
        <v>0.896383352668778</v>
      </c>
      <c r="AG23" s="218"/>
      <c r="AH23" s="218"/>
      <c r="AK23" s="218">
        <f>gmprop(C23,C15,pressconv(Q11,upsg(T11),"kg/cm2.g")-1.033227,"kg/cm2.g",AN16,AP16,AR16,AT16,AV16,"","","","","",AN23,AP23,AR23,AT23,AV23,0,0,0,0,0,AU15,1)</f>
        <v>0.8726440424854786</v>
      </c>
      <c r="AL23" s="218"/>
      <c r="AM23" s="243"/>
      <c r="AN23" s="281">
        <f t="shared" si="8"/>
        <v>4.190505950505898</v>
      </c>
      <c r="AO23" s="279"/>
      <c r="AP23" s="279">
        <f t="shared" si="4"/>
        <v>74.8141297574997</v>
      </c>
      <c r="AQ23" s="279"/>
      <c r="AR23" s="279">
        <f t="shared" si="5"/>
        <v>20.070391687262443</v>
      </c>
      <c r="AS23" s="279"/>
      <c r="AT23" s="279">
        <f t="shared" si="6"/>
        <v>0.8948875210479065</v>
      </c>
      <c r="AU23" s="279"/>
      <c r="AV23" s="279">
        <f t="shared" si="7"/>
        <v>0.030085083684051668</v>
      </c>
      <c r="AW23" s="280"/>
      <c r="AX23" s="269">
        <f t="shared" si="9"/>
        <v>100</v>
      </c>
      <c r="AY23" s="270"/>
    </row>
    <row r="24" spans="1:51" ht="9.75" customHeight="1">
      <c r="A24" s="6"/>
      <c r="B24" s="6"/>
      <c r="C24" s="291">
        <v>35</v>
      </c>
      <c r="D24" s="291"/>
      <c r="E24" s="266">
        <f t="shared" si="0"/>
        <v>5.627819328255514</v>
      </c>
      <c r="F24" s="218"/>
      <c r="G24" s="218"/>
      <c r="H24" s="224">
        <f>pressconv(E24,upsg(E15),upsg(H15))</f>
        <v>0.057387786127327006</v>
      </c>
      <c r="I24" s="218"/>
      <c r="J24" s="218"/>
      <c r="K24" s="224">
        <f>pressconv(fprop("Saturated","H2O L.P.",C24,C15,0,"","Yes",0,1,10)+1.033227,"kg/cm2.g",upsg(H15))</f>
        <v>0.05739595217654714</v>
      </c>
      <c r="L24" s="218"/>
      <c r="M24" s="243"/>
      <c r="N24" s="218">
        <f>E24/Q11</f>
        <v>0.05554225835929449</v>
      </c>
      <c r="O24" s="218"/>
      <c r="P24" s="218"/>
      <c r="Q24" s="224">
        <f t="shared" si="1"/>
        <v>0.035286800035803444</v>
      </c>
      <c r="R24" s="218"/>
      <c r="S24" s="243"/>
      <c r="T24" s="218">
        <f t="shared" si="2"/>
        <v>0.0365775030725329</v>
      </c>
      <c r="U24" s="218"/>
      <c r="V24" s="218"/>
      <c r="W24" s="266">
        <f>ugconst*(C24+273.15)/mwda/(1000*Q11)</f>
        <v>0.8729934000347728</v>
      </c>
      <c r="X24" s="218"/>
      <c r="Y24" s="218"/>
      <c r="Z24" s="224">
        <f>fprop("Vapor","Dry Air",C24,C15,pressconv(Q11,upsg(T11),"kg/cm2.g")-1.033227,"kg/cm2.g","",0,0,1)</f>
        <v>0.8729931071158088</v>
      </c>
      <c r="AA24" s="218"/>
      <c r="AB24" s="218"/>
      <c r="AC24" s="266">
        <f>ugconst*(C24+273.15)/mwda/(1000*Q11)*(1+1/(mwwv/mwda)*T24)</f>
        <v>0.9243329389393479</v>
      </c>
      <c r="AD24" s="218"/>
      <c r="AE24" s="242"/>
      <c r="AF24" s="224">
        <f t="shared" si="3"/>
        <v>0.9243244327285046</v>
      </c>
      <c r="AG24" s="218"/>
      <c r="AH24" s="218"/>
      <c r="AK24" s="218">
        <f>gmprop(C24,C15,pressconv(Q11,upsg(T11),"kg/cm2.g")-1.033227,"kg/cm2.g",AN16,AP16,AR16,AT16,AV16,"","","","","",AN24,AP24,AR24,AT24,AV24,0,0,0,0,0,AU15,1)</f>
        <v>0.8917079813026064</v>
      </c>
      <c r="AL24" s="218"/>
      <c r="AM24" s="243"/>
      <c r="AN24" s="281">
        <f t="shared" si="8"/>
        <v>5.554225835929449</v>
      </c>
      <c r="AO24" s="279"/>
      <c r="AP24" s="279">
        <f t="shared" si="4"/>
        <v>73.74925077579613</v>
      </c>
      <c r="AQ24" s="279"/>
      <c r="AR24" s="279">
        <f t="shared" si="5"/>
        <v>19.784716530288755</v>
      </c>
      <c r="AS24" s="279"/>
      <c r="AT24" s="279">
        <f t="shared" si="6"/>
        <v>0.8821499951922749</v>
      </c>
      <c r="AU24" s="279"/>
      <c r="AV24" s="279">
        <f t="shared" si="7"/>
        <v>0.029656862793401958</v>
      </c>
      <c r="AW24" s="280"/>
      <c r="AX24" s="269">
        <f t="shared" si="9"/>
        <v>100</v>
      </c>
      <c r="AY24" s="270"/>
    </row>
    <row r="25" spans="1:51" ht="9.75" customHeight="1">
      <c r="A25" s="1"/>
      <c r="B25" s="1"/>
      <c r="C25" s="291">
        <v>40</v>
      </c>
      <c r="D25" s="291"/>
      <c r="E25" s="266">
        <f t="shared" si="0"/>
        <v>7.383459853801559</v>
      </c>
      <c r="F25" s="218"/>
      <c r="G25" s="218"/>
      <c r="H25" s="224">
        <f>pressconv(E25,upsg(E15),upsg(H15))</f>
        <v>0.07529033720793094</v>
      </c>
      <c r="I25" s="218"/>
      <c r="J25" s="218"/>
      <c r="K25" s="224">
        <f>pressconv(fprop("Saturated","H2O L.P.",C25,C15,0,"","Yes",0,1,10)+1.033227,"kg/cm2.g",upsg(H15))</f>
        <v>0.0753002043212464</v>
      </c>
      <c r="L25" s="218"/>
      <c r="M25" s="243"/>
      <c r="N25" s="218">
        <f>E25/Q11</f>
        <v>0.07286908318580368</v>
      </c>
      <c r="O25" s="218"/>
      <c r="P25" s="218"/>
      <c r="Q25" s="224">
        <f t="shared" si="1"/>
        <v>0.04660660133876852</v>
      </c>
      <c r="R25" s="218"/>
      <c r="S25" s="243"/>
      <c r="T25" s="218">
        <f t="shared" si="2"/>
        <v>0.048884963336450794</v>
      </c>
      <c r="U25" s="218"/>
      <c r="V25" s="218"/>
      <c r="W25" s="266">
        <f>ugconst*(C25+273.15)/mwda/(1000*Q11)</f>
        <v>0.8871584722404319</v>
      </c>
      <c r="X25" s="218"/>
      <c r="Y25" s="218"/>
      <c r="Z25" s="224">
        <f>fprop("Vapor","Dry Air",C25,C15,pressconv(Q11,upsg(T11),"kg/cm2.g")-1.033227,"kg/cm2.g","",0,0,1)</f>
        <v>0.8871581745686048</v>
      </c>
      <c r="AA25" s="218"/>
      <c r="AB25" s="218"/>
      <c r="AC25" s="266">
        <f>ugconst*(C25+273.15)/mwda/(1000*Q11)*(1+1/(mwwv/mwda)*T25)</f>
        <v>0.9568858681672296</v>
      </c>
      <c r="AD25" s="218"/>
      <c r="AE25" s="242"/>
      <c r="AF25" s="224">
        <f t="shared" si="3"/>
        <v>0.956877161944239</v>
      </c>
      <c r="AG25" s="218"/>
      <c r="AH25" s="218"/>
      <c r="AK25" s="218">
        <f>gmprop(C25,C15,pressconv(Q11,upsg(T11),"kg/cm2.g")-1.033227,"kg/cm2.g",AN16,AP16,AR16,AT16,AV16,"","","","","",AN25,AP25,AR25,AT25,AV25,0,0,0,0,0,AU15,1)</f>
        <v>0.9122803695273316</v>
      </c>
      <c r="AL25" s="218"/>
      <c r="AM25" s="243"/>
      <c r="AN25" s="281">
        <f t="shared" si="8"/>
        <v>7.286908318580368</v>
      </c>
      <c r="AO25" s="279"/>
      <c r="AP25" s="279">
        <f t="shared" si="4"/>
        <v>72.39626239639159</v>
      </c>
      <c r="AQ25" s="279"/>
      <c r="AR25" s="279">
        <f t="shared" si="5"/>
        <v>19.421750245564425</v>
      </c>
      <c r="AS25" s="279"/>
      <c r="AT25" s="279">
        <f t="shared" si="6"/>
        <v>0.8659662552921182</v>
      </c>
      <c r="AU25" s="279"/>
      <c r="AV25" s="279">
        <f t="shared" si="7"/>
        <v>0.029112784171490907</v>
      </c>
      <c r="AW25" s="280"/>
      <c r="AX25" s="269">
        <f t="shared" si="9"/>
        <v>100</v>
      </c>
      <c r="AY25" s="270"/>
    </row>
    <row r="26" spans="1:51" ht="9.75" customHeight="1">
      <c r="A26" s="6"/>
      <c r="B26" s="6"/>
      <c r="C26" s="291">
        <v>45</v>
      </c>
      <c r="D26" s="291"/>
      <c r="E26" s="266">
        <f t="shared" si="0"/>
        <v>9.593219732799575</v>
      </c>
      <c r="F26" s="218"/>
      <c r="G26" s="218"/>
      <c r="H26" s="224">
        <f>pressconv(E26,upsg(E15),upsg(H15))</f>
        <v>0.09782361696195516</v>
      </c>
      <c r="I26" s="218"/>
      <c r="J26" s="218"/>
      <c r="K26" s="224">
        <f>pressconv(fprop("Saturated","H2O L.P.",C26,C15,0,"","Yes",0,1,10)+1.033227,"kg/cm2.g",upsg(H15))</f>
        <v>0.09783553852948934</v>
      </c>
      <c r="L26" s="218"/>
      <c r="M26" s="243"/>
      <c r="N26" s="218">
        <f>E26/Q11</f>
        <v>0.09467771757019072</v>
      </c>
      <c r="O26" s="218"/>
      <c r="P26" s="218"/>
      <c r="Q26" s="224">
        <f t="shared" si="1"/>
        <v>0.061073025908854404</v>
      </c>
      <c r="R26" s="218"/>
      <c r="S26" s="243"/>
      <c r="T26" s="218">
        <f t="shared" si="2"/>
        <v>0.0650455547599656</v>
      </c>
      <c r="U26" s="218"/>
      <c r="V26" s="218"/>
      <c r="W26" s="266">
        <f>ugconst*(C26+273.15)/mwda/(1000*Q11)</f>
        <v>0.9013235444460911</v>
      </c>
      <c r="X26" s="218"/>
      <c r="Y26" s="218"/>
      <c r="Z26" s="224">
        <f>fprop("Vapor","Dry Air",C26,C15,pressconv(Q11,upsg(T11),"kg/cm2.g")-1.033227,"kg/cm2.g","",0,0,1)</f>
        <v>0.9013232420214006</v>
      </c>
      <c r="AA26" s="218"/>
      <c r="AB26" s="218"/>
      <c r="AC26" s="266">
        <f>ugconst*(C26+273.15)/mwda/(1000*Q11)*(1+1/(mwwv/mwda)*T26)</f>
        <v>0.9955830779145456</v>
      </c>
      <c r="AD26" s="218"/>
      <c r="AE26" s="242"/>
      <c r="AF26" s="224">
        <f t="shared" si="3"/>
        <v>0.9955741519824995</v>
      </c>
      <c r="AG26" s="218"/>
      <c r="AH26" s="218"/>
      <c r="AK26" s="218">
        <f>gmprop(C26,C15,pressconv(Q11,upsg(T11),"kg/cm2.g")-1.033227,"kg/cm2.g",AN16,AP16,AR16,AT16,AV16,"","","","","",AN26,AP26,AR26,AT26,AV26,0,0,0,0,0,AU15,1)</f>
        <v>0.9347714260042865</v>
      </c>
      <c r="AL26" s="218"/>
      <c r="AM26" s="243"/>
      <c r="AN26" s="281">
        <f t="shared" si="8"/>
        <v>9.467771757019072</v>
      </c>
      <c r="AO26" s="279"/>
      <c r="AP26" s="279">
        <f t="shared" si="4"/>
        <v>70.69330590042624</v>
      </c>
      <c r="AQ26" s="279"/>
      <c r="AR26" s="279">
        <f t="shared" si="5"/>
        <v>18.96489799036638</v>
      </c>
      <c r="AS26" s="279"/>
      <c r="AT26" s="279">
        <f t="shared" si="6"/>
        <v>0.8455963796808323</v>
      </c>
      <c r="AU26" s="279"/>
      <c r="AV26" s="279">
        <f t="shared" si="7"/>
        <v>0.02842797250747123</v>
      </c>
      <c r="AW26" s="280"/>
      <c r="AX26" s="269">
        <f t="shared" si="9"/>
        <v>99.99999999999999</v>
      </c>
      <c r="AY26" s="270"/>
    </row>
    <row r="27" spans="1:51" ht="9.75" customHeight="1">
      <c r="A27" s="1"/>
      <c r="B27" s="1"/>
      <c r="C27" s="291">
        <v>50</v>
      </c>
      <c r="D27" s="291"/>
      <c r="E27" s="266">
        <f t="shared" si="0"/>
        <v>12.34985620715614</v>
      </c>
      <c r="F27" s="218"/>
      <c r="G27" s="218"/>
      <c r="H27" s="224">
        <f>pressconv(E27,upsg(E15),upsg(H15))</f>
        <v>0.1259334860238322</v>
      </c>
      <c r="I27" s="218"/>
      <c r="J27" s="218"/>
      <c r="K27" s="224">
        <f>pressconv(fprop("Saturated","H2O L.P.",C27,C15,0,"","Yes",0,1,10)+1.033227,"kg/cm2.g",upsg(H15))</f>
        <v>0.12594790712448523</v>
      </c>
      <c r="L27" s="218"/>
      <c r="M27" s="243"/>
      <c r="N27" s="218">
        <f>E27/Q11</f>
        <v>0.12188360431439565</v>
      </c>
      <c r="O27" s="218"/>
      <c r="P27" s="218"/>
      <c r="Q27" s="224">
        <f t="shared" si="1"/>
        <v>0.07947016645204961</v>
      </c>
      <c r="R27" s="218"/>
      <c r="S27" s="243"/>
      <c r="T27" s="218">
        <f t="shared" si="2"/>
        <v>0.08633089722442984</v>
      </c>
      <c r="U27" s="218"/>
      <c r="V27" s="218"/>
      <c r="W27" s="266">
        <f>ugconst*(C27+273.15)/mwda/(1000*Q11)</f>
        <v>0.9154886166517502</v>
      </c>
      <c r="X27" s="218"/>
      <c r="Y27" s="218"/>
      <c r="Z27" s="224">
        <f>fprop("Vapor","Dry Air",C27,C15,pressconv(Q11,upsg(T11),"kg/cm2.g")-1.033227,"kg/cm2.g","",0,0,1)</f>
        <v>0.9154883094741962</v>
      </c>
      <c r="AA27" s="218"/>
      <c r="AB27" s="218"/>
      <c r="AC27" s="266">
        <f>ugconst*(C27+273.15)/mwda/(1000*Q11)*(1+1/(mwwv/mwda)*T27)</f>
        <v>1.0425595298638821</v>
      </c>
      <c r="AD27" s="218"/>
      <c r="AE27" s="242"/>
      <c r="AF27" s="224">
        <f t="shared" si="3"/>
        <v>1.042550359052429</v>
      </c>
      <c r="AG27" s="218"/>
      <c r="AH27" s="218"/>
      <c r="AK27" s="218">
        <f>gmprop(C27,C15,pressconv(Q11,upsg(T11),"kg/cm2.g")-1.033227,"kg/cm2.g",AN16,AP16,AR16,AT16,AV16,"","","","","",AN27,AP27,AR27,AT27,AV27,0,0,0,0,0,AU15,1)</f>
        <v>0.9596987084838884</v>
      </c>
      <c r="AL27" s="218"/>
      <c r="AM27" s="243"/>
      <c r="AN27" s="281">
        <f t="shared" si="8"/>
        <v>12.188360431439566</v>
      </c>
      <c r="AO27" s="279"/>
      <c r="AP27" s="279">
        <f t="shared" si="4"/>
        <v>68.56889770764596</v>
      </c>
      <c r="AQ27" s="279"/>
      <c r="AR27" s="279">
        <f t="shared" si="5"/>
        <v>18.39498285974956</v>
      </c>
      <c r="AS27" s="279"/>
      <c r="AT27" s="279">
        <f t="shared" si="6"/>
        <v>0.8201853191299284</v>
      </c>
      <c r="AU27" s="279"/>
      <c r="AV27" s="279">
        <f t="shared" si="7"/>
        <v>0.027573682034989028</v>
      </c>
      <c r="AW27" s="280"/>
      <c r="AX27" s="269">
        <f t="shared" si="9"/>
        <v>100</v>
      </c>
      <c r="AY27" s="270"/>
    </row>
    <row r="28" spans="1:51" ht="9.75" customHeight="1">
      <c r="A28" s="1"/>
      <c r="B28" s="1"/>
      <c r="C28" s="291">
        <v>60</v>
      </c>
      <c r="D28" s="291"/>
      <c r="E28" s="266">
        <f t="shared" si="0"/>
        <v>19.943760202445613</v>
      </c>
      <c r="F28" s="218"/>
      <c r="G28" s="218"/>
      <c r="H28" s="224">
        <f>pressconv(E28,upsg(E15),upsg(H15))</f>
        <v>0.2033697562617776</v>
      </c>
      <c r="I28" s="218"/>
      <c r="J28" s="218"/>
      <c r="K28" s="224">
        <f>pressconv(fprop("Saturated","H2O L.P.",C28,C15,0,"","Yes",0,1,10)+1.033227,"kg/cm2.g",upsg(H15))</f>
        <v>0.20339057603441257</v>
      </c>
      <c r="L28" s="218"/>
      <c r="M28" s="243"/>
      <c r="N28" s="218">
        <f>E28/Q11</f>
        <v>0.19682960969598434</v>
      </c>
      <c r="O28" s="218"/>
      <c r="P28" s="218"/>
      <c r="Q28" s="224">
        <f t="shared" si="1"/>
        <v>0.13226446424302282</v>
      </c>
      <c r="R28" s="218"/>
      <c r="S28" s="243"/>
      <c r="T28" s="218">
        <f t="shared" si="2"/>
        <v>0.15242485618344612</v>
      </c>
      <c r="U28" s="218"/>
      <c r="V28" s="218"/>
      <c r="W28" s="266">
        <f>ugconst*(C28+273.15)/mwda/(1000*Q11)</f>
        <v>0.9438187610630685</v>
      </c>
      <c r="X28" s="218"/>
      <c r="Y28" s="218"/>
      <c r="Z28" s="224">
        <f>fprop("Vapor","Dry Air",C28,C15,pressconv(Q11,upsg(T11),"kg/cm2.g")-1.033227,"kg/cm2.g","",0,0,1)</f>
        <v>0.9438184443797881</v>
      </c>
      <c r="AA28" s="218"/>
      <c r="AB28" s="218"/>
      <c r="AC28" s="266">
        <f>ugconst*(C28+273.15)/mwda/(1000*Q11)*(1+1/(mwwv/mwda)*T28)</f>
        <v>1.1751164789650856</v>
      </c>
      <c r="AD28" s="218"/>
      <c r="AE28" s="242"/>
      <c r="AF28" s="224">
        <f t="shared" si="3"/>
        <v>1.1751067123457875</v>
      </c>
      <c r="AG28" s="218"/>
      <c r="AH28" s="218"/>
      <c r="AK28" s="218">
        <f>gmprop(C28,C15,pressconv(Q11,upsg(T11),"kg/cm2.g")-1.033227,"kg/cm2.g",AN16,AP16,AR16,AT16,AV16,"","","","","",AN28,AP28,AR28,AT28,AV28,0,0,0,0,0,AU15,1)</f>
        <v>1.019681852608992</v>
      </c>
      <c r="AL28" s="218"/>
      <c r="AM28" s="243"/>
      <c r="AN28" s="281">
        <f t="shared" si="8"/>
        <v>19.682960969598433</v>
      </c>
      <c r="AO28" s="279"/>
      <c r="AP28" s="279">
        <f t="shared" si="4"/>
        <v>62.71663825564642</v>
      </c>
      <c r="AQ28" s="279"/>
      <c r="AR28" s="279">
        <f t="shared" si="5"/>
        <v>16.824996817836933</v>
      </c>
      <c r="AS28" s="279"/>
      <c r="AT28" s="279">
        <f t="shared" si="6"/>
        <v>0.7501836500534523</v>
      </c>
      <c r="AU28" s="279"/>
      <c r="AV28" s="279">
        <f t="shared" si="7"/>
        <v>0.02522030686475203</v>
      </c>
      <c r="AW28" s="280"/>
      <c r="AX28" s="269">
        <f t="shared" si="9"/>
        <v>100</v>
      </c>
      <c r="AY28" s="270"/>
    </row>
    <row r="29" spans="1:51" ht="9.75" customHeight="1">
      <c r="A29" s="1"/>
      <c r="B29" s="1"/>
      <c r="C29" s="291">
        <v>70</v>
      </c>
      <c r="D29" s="291"/>
      <c r="E29" s="266">
        <f t="shared" si="0"/>
        <v>31.197894693955778</v>
      </c>
      <c r="F29" s="218"/>
      <c r="G29" s="218"/>
      <c r="H29" s="224">
        <f>pressconv(E29,upsg(E15),upsg(H15))</f>
        <v>0.3181299903020479</v>
      </c>
      <c r="I29" s="218"/>
      <c r="J29" s="218"/>
      <c r="K29" s="224">
        <f>pressconv(fprop("Saturated","H2O L.P.",C29,C15,0,"","Yes",0,1,10)+1.033227,"kg/cm2.g",upsg(H15))</f>
        <v>0.31815794074492143</v>
      </c>
      <c r="L29" s="218"/>
      <c r="M29" s="243"/>
      <c r="N29" s="218">
        <f>E29/Q11</f>
        <v>0.30789928146021</v>
      </c>
      <c r="O29" s="218"/>
      <c r="P29" s="218"/>
      <c r="Q29" s="224">
        <f t="shared" si="1"/>
        <v>0.21673191113401083</v>
      </c>
      <c r="R29" s="218"/>
      <c r="S29" s="243"/>
      <c r="T29" s="218">
        <f t="shared" si="2"/>
        <v>0.2767020822306115</v>
      </c>
      <c r="U29" s="218"/>
      <c r="V29" s="218"/>
      <c r="W29" s="266">
        <f>ugconst*(C29+273.15)/mwda/(1000*Q11)</f>
        <v>0.9721489054743868</v>
      </c>
      <c r="X29" s="218"/>
      <c r="Y29" s="218"/>
      <c r="Z29" s="224">
        <f>fprop("Vapor","Dry Air",C29,C15,pressconv(Q11,upsg(T11),"kg/cm2.g")-1.033227,"kg/cm2.g","",0,0,1)</f>
        <v>0.97214857928538</v>
      </c>
      <c r="AA29" s="218"/>
      <c r="AB29" s="218"/>
      <c r="AC29" s="266">
        <f>ugconst*(C29+273.15)/mwda/(1000*Q11)*(1+1/(mwwv/mwda)*T29)</f>
        <v>1.4046350183329515</v>
      </c>
      <c r="AD29" s="218"/>
      <c r="AE29" s="242"/>
      <c r="AF29" s="224">
        <f t="shared" si="3"/>
        <v>1.4046244346489971</v>
      </c>
      <c r="AG29" s="218"/>
      <c r="AH29" s="218"/>
      <c r="AK29" s="218">
        <f>gmprop(C29,C15,pressconv(Q11,upsg(T11),"kg/cm2.g")-1.033227,"kg/cm2.g",AN16,AP16,AR16,AT16,AV16,"","","","","",AN29,AP29,AR29,AT29,AV29,0,0,0,0,0,AU15,1)</f>
        <v>1.1001974965019905</v>
      </c>
      <c r="AL29" s="218"/>
      <c r="AM29" s="243"/>
      <c r="AN29" s="281">
        <f t="shared" si="8"/>
        <v>30.789928146021</v>
      </c>
      <c r="AO29" s="279"/>
      <c r="AP29" s="279">
        <f t="shared" si="4"/>
        <v>54.04361381487541</v>
      </c>
      <c r="AQ29" s="279"/>
      <c r="AR29" s="279">
        <f t="shared" si="5"/>
        <v>14.498283960202912</v>
      </c>
      <c r="AS29" s="279"/>
      <c r="AT29" s="279">
        <f t="shared" si="6"/>
        <v>0.6464414643600948</v>
      </c>
      <c r="AU29" s="279"/>
      <c r="AV29" s="279">
        <f t="shared" si="7"/>
        <v>0.021732614540585626</v>
      </c>
      <c r="AW29" s="280"/>
      <c r="AX29" s="269">
        <f t="shared" si="9"/>
        <v>100</v>
      </c>
      <c r="AY29" s="270"/>
    </row>
    <row r="30" spans="1:51" ht="9.75" customHeight="1">
      <c r="A30" s="6"/>
      <c r="B30" s="6"/>
      <c r="C30" s="291">
        <v>80</v>
      </c>
      <c r="D30" s="291"/>
      <c r="E30" s="266">
        <f t="shared" si="0"/>
        <v>47.411610466646984</v>
      </c>
      <c r="F30" s="218"/>
      <c r="G30" s="218"/>
      <c r="H30" s="224">
        <f>pressconv(E30,upsg(E15),upsg(H15))</f>
        <v>0.4834638787623397</v>
      </c>
      <c r="I30" s="218"/>
      <c r="J30" s="218"/>
      <c r="K30" s="224">
        <f>pressconv(fprop("Saturated","H2O L.P.",C30,C15,0,"","Yes",0,1,10)+1.033227,"kg/cm2.g",upsg(H15))</f>
        <v>0.483495586427356</v>
      </c>
      <c r="L30" s="218"/>
      <c r="M30" s="243"/>
      <c r="N30" s="218">
        <f>E30/Q11</f>
        <v>0.4679162148201034</v>
      </c>
      <c r="O30" s="218"/>
      <c r="P30" s="218"/>
      <c r="Q30" s="224">
        <f t="shared" si="1"/>
        <v>0.35357379845186143</v>
      </c>
      <c r="R30" s="218"/>
      <c r="S30" s="243"/>
      <c r="T30" s="218">
        <f t="shared" si="2"/>
        <v>0.5469669973232532</v>
      </c>
      <c r="U30" s="218"/>
      <c r="V30" s="218"/>
      <c r="W30" s="266">
        <f>ugconst*(C30+273.15)/mwda/(1000*Q11)</f>
        <v>1.000479049885705</v>
      </c>
      <c r="X30" s="218"/>
      <c r="Y30" s="218"/>
      <c r="Z30" s="224">
        <f>fprop("Vapor","Dry Air",C30,C15,pressconv(Q11,upsg(T11),"kg/cm2.g")-1.033227,"kg/cm2.g","",0,0,1)</f>
        <v>1.0004787141909715</v>
      </c>
      <c r="AA30" s="218"/>
      <c r="AB30" s="218"/>
      <c r="AC30" s="266">
        <f>ugconst*(C30+273.15)/mwda/(1000*Q11)*(1+1/(mwwv/mwda)*T30)</f>
        <v>1.8803035870515108</v>
      </c>
      <c r="AD30" s="218"/>
      <c r="AE30" s="242"/>
      <c r="AF30" s="224">
        <f t="shared" si="3"/>
        <v>1.8802917842473206</v>
      </c>
      <c r="AG30" s="218"/>
      <c r="AH30" s="218"/>
      <c r="AK30" s="218">
        <f>gmprop(C30,C15,pressconv(Q11,upsg(T11),"kg/cm2.g")-1.033227,"kg/cm2.g",AN16,AP16,AR16,AT16,AV16,"","","","","",AN30,AP30,AR30,AT30,AV30,0,0,0,0,0,AU15,1)</f>
        <v>1.2154698758931675</v>
      </c>
      <c r="AL30" s="218"/>
      <c r="AM30" s="243"/>
      <c r="AN30" s="281">
        <f t="shared" si="8"/>
        <v>46.79162148201034</v>
      </c>
      <c r="AO30" s="279"/>
      <c r="AP30" s="279">
        <f t="shared" si="4"/>
        <v>41.54847673628913</v>
      </c>
      <c r="AQ30" s="279"/>
      <c r="AR30" s="279">
        <f t="shared" si="5"/>
        <v>11.146212684814946</v>
      </c>
      <c r="AS30" s="279"/>
      <c r="AT30" s="279">
        <f t="shared" si="6"/>
        <v>0.4969811647929672</v>
      </c>
      <c r="AU30" s="279"/>
      <c r="AV30" s="279">
        <f t="shared" si="7"/>
        <v>0.01670793209261153</v>
      </c>
      <c r="AW30" s="280"/>
      <c r="AX30" s="269">
        <f t="shared" si="9"/>
        <v>100</v>
      </c>
      <c r="AY30" s="270"/>
    </row>
    <row r="31" spans="1:51" ht="9.75" customHeight="1">
      <c r="A31" s="1"/>
      <c r="B31" s="1"/>
      <c r="C31" s="292">
        <v>90</v>
      </c>
      <c r="D31" s="292"/>
      <c r="E31" s="267">
        <f t="shared" si="0"/>
        <v>70.18001160263977</v>
      </c>
      <c r="F31" s="234"/>
      <c r="G31" s="234"/>
      <c r="H31" s="233">
        <f>pressconv(E31,upsg(E15),upsg(H15))</f>
        <v>0.7156369565819088</v>
      </c>
      <c r="I31" s="234"/>
      <c r="J31" s="234"/>
      <c r="K31" s="233">
        <f>pressconv(fprop("Saturated","H2O L.P.",C31,C15,0,"","Yes",0,1,10)+1.033227,"kg/cm2.g",upsg(H15))</f>
        <v>0.7156609111650895</v>
      </c>
      <c r="L31" s="234"/>
      <c r="M31" s="250"/>
      <c r="N31" s="234">
        <f>E31/Q11</f>
        <v>0.6926228630904492</v>
      </c>
      <c r="O31" s="234"/>
      <c r="P31" s="234"/>
      <c r="Q31" s="233">
        <f t="shared" si="1"/>
        <v>0.5835965038483748</v>
      </c>
      <c r="R31" s="234"/>
      <c r="S31" s="250"/>
      <c r="T31" s="234">
        <f t="shared" si="2"/>
        <v>1.4015168202042896</v>
      </c>
      <c r="U31" s="234"/>
      <c r="V31" s="234"/>
      <c r="W31" s="267">
        <f>ugconst*(C31+273.15)/mwda/(1000*Q11)</f>
        <v>1.0288091942970232</v>
      </c>
      <c r="X31" s="234"/>
      <c r="Y31" s="234"/>
      <c r="Z31" s="233">
        <f>fprop("Vapor","Dry Air",C31,C15,pressconv(Q11,upsg(T11),"kg/cm2.g")-1.033227,"kg/cm2.g","",0,0,1)</f>
        <v>1.0288088490965632</v>
      </c>
      <c r="AA31" s="234"/>
      <c r="AB31" s="234"/>
      <c r="AC31" s="267">
        <f>ugconst*(C31+273.15)/mwda/(1000*Q11)*(1+1/(mwwv/mwda)*T31)</f>
        <v>3.347058290154358</v>
      </c>
      <c r="AD31" s="234"/>
      <c r="AE31" s="249"/>
      <c r="AF31" s="233">
        <f t="shared" si="3"/>
        <v>3.3470443568227837</v>
      </c>
      <c r="AG31" s="234"/>
      <c r="AH31" s="234"/>
      <c r="AK31" s="234">
        <f>gmprop(C31,C15,pressconv(Q11,upsg(T11),"kg/cm2.g")-1.033227,"kg/cm2.g",AN16,AP16,AR16,AT16,AV16,"","","","","",AN31,AP31,AR31,AT31,AV31,0,0,0,0,0,AU15,1)</f>
        <v>1.3937209719555748</v>
      </c>
      <c r="AL31" s="234"/>
      <c r="AM31" s="250"/>
      <c r="AN31" s="278">
        <f>N31*100</f>
        <v>69.26228630904492</v>
      </c>
      <c r="AO31" s="273"/>
      <c r="AP31" s="273">
        <f t="shared" si="4"/>
        <v>24.001956417137876</v>
      </c>
      <c r="AQ31" s="273"/>
      <c r="AR31" s="273">
        <f t="shared" si="5"/>
        <v>6.4390064833210054</v>
      </c>
      <c r="AS31" s="273"/>
      <c r="AT31" s="273">
        <f t="shared" si="6"/>
        <v>0.2870988588392856</v>
      </c>
      <c r="AU31" s="273"/>
      <c r="AV31" s="273">
        <f t="shared" si="7"/>
        <v>0.0096519316569096</v>
      </c>
      <c r="AW31" s="274"/>
      <c r="AX31" s="271">
        <f t="shared" si="9"/>
        <v>100</v>
      </c>
      <c r="AY31" s="272"/>
    </row>
    <row r="32" spans="1:28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</row>
    <row r="33" spans="1:29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AC33" s="3"/>
    </row>
    <row r="34" spans="1:34" ht="9.75" customHeight="1">
      <c r="A34" s="6"/>
      <c r="B34" s="6"/>
      <c r="C34" s="137" t="s">
        <v>192</v>
      </c>
      <c r="D34" s="303"/>
      <c r="E34" s="300" t="s">
        <v>204</v>
      </c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306"/>
      <c r="AD34" s="46"/>
      <c r="AE34" s="33"/>
      <c r="AF34" s="33"/>
      <c r="AG34" s="33"/>
      <c r="AH34" s="33"/>
    </row>
    <row r="35" spans="1:52" ht="9.75" customHeight="1">
      <c r="A35" s="6"/>
      <c r="B35" s="6"/>
      <c r="C35" s="304"/>
      <c r="D35" s="305"/>
      <c r="E35" s="301" t="s">
        <v>212</v>
      </c>
      <c r="F35" s="247"/>
      <c r="G35" s="247"/>
      <c r="H35" s="247"/>
      <c r="I35" s="247"/>
      <c r="J35" s="262"/>
      <c r="K35" s="263" t="s">
        <v>215</v>
      </c>
      <c r="L35" s="263"/>
      <c r="M35" s="263"/>
      <c r="N35" s="246" t="s">
        <v>216</v>
      </c>
      <c r="O35" s="247"/>
      <c r="P35" s="301" t="s">
        <v>213</v>
      </c>
      <c r="Q35" s="247"/>
      <c r="R35" s="247"/>
      <c r="S35" s="247"/>
      <c r="T35" s="247"/>
      <c r="U35" s="248"/>
      <c r="V35" s="262" t="s">
        <v>214</v>
      </c>
      <c r="W35" s="263"/>
      <c r="X35" s="246"/>
      <c r="Y35" s="246" t="s">
        <v>215</v>
      </c>
      <c r="Z35" s="247"/>
      <c r="AA35" s="247"/>
      <c r="AB35" s="246" t="s">
        <v>216</v>
      </c>
      <c r="AC35" s="248"/>
      <c r="AD35" s="44"/>
      <c r="AE35" s="8"/>
      <c r="AF35" s="8"/>
      <c r="AG35" s="8"/>
      <c r="AH35" s="8"/>
      <c r="AM35" s="40" t="s">
        <v>215</v>
      </c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</row>
    <row r="36" spans="1:52" ht="9.75" customHeight="1">
      <c r="A36" s="1"/>
      <c r="B36" s="1"/>
      <c r="C36" s="256" t="str">
        <f>C15</f>
        <v>℃</v>
      </c>
      <c r="D36" s="256"/>
      <c r="E36" s="261" t="s">
        <v>294</v>
      </c>
      <c r="F36" s="251"/>
      <c r="G36" s="251"/>
      <c r="H36" s="259" t="s">
        <v>295</v>
      </c>
      <c r="I36" s="251"/>
      <c r="J36" s="251"/>
      <c r="K36" s="251"/>
      <c r="L36" s="251"/>
      <c r="M36" s="260"/>
      <c r="N36" s="48"/>
      <c r="O36" s="49"/>
      <c r="P36" s="261" t="s">
        <v>294</v>
      </c>
      <c r="Q36" s="251"/>
      <c r="R36" s="251"/>
      <c r="S36" s="259" t="s">
        <v>295</v>
      </c>
      <c r="T36" s="251"/>
      <c r="U36" s="251"/>
      <c r="V36" s="251"/>
      <c r="W36" s="251"/>
      <c r="X36" s="251"/>
      <c r="Y36" s="251"/>
      <c r="Z36" s="251"/>
      <c r="AA36" s="251"/>
      <c r="AB36" s="48"/>
      <c r="AC36" s="49"/>
      <c r="AD36" s="44"/>
      <c r="AE36" s="8"/>
      <c r="AF36" s="8"/>
      <c r="AG36" s="8"/>
      <c r="AH36" s="8"/>
      <c r="AM36" s="41" t="s">
        <v>308</v>
      </c>
      <c r="AO36" s="211" t="s">
        <v>310</v>
      </c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</row>
    <row r="37" spans="1:52" ht="9.75" customHeight="1">
      <c r="A37" s="6"/>
      <c r="B37" s="6"/>
      <c r="C37" s="211" t="s">
        <v>194</v>
      </c>
      <c r="D37" s="211"/>
      <c r="E37" s="257" t="s">
        <v>205</v>
      </c>
      <c r="F37" s="252"/>
      <c r="G37" s="252"/>
      <c r="H37" s="252"/>
      <c r="I37" s="252"/>
      <c r="J37" s="252"/>
      <c r="K37" s="252"/>
      <c r="L37" s="252"/>
      <c r="M37" s="258"/>
      <c r="N37" s="240" t="s">
        <v>217</v>
      </c>
      <c r="O37" s="252"/>
      <c r="P37" s="257" t="s">
        <v>206</v>
      </c>
      <c r="Q37" s="252"/>
      <c r="R37" s="252"/>
      <c r="S37" s="252"/>
      <c r="T37" s="252"/>
      <c r="U37" s="241"/>
      <c r="V37" s="252" t="s">
        <v>220</v>
      </c>
      <c r="W37" s="252"/>
      <c r="X37" s="252"/>
      <c r="Y37" s="252"/>
      <c r="Z37" s="252"/>
      <c r="AA37" s="252"/>
      <c r="AB37" s="240" t="s">
        <v>217</v>
      </c>
      <c r="AC37" s="241"/>
      <c r="AD37" s="47"/>
      <c r="AE37" s="42"/>
      <c r="AF37" s="42"/>
      <c r="AG37" s="42"/>
      <c r="AH37" s="42"/>
      <c r="AK37" s="268" t="s">
        <v>206</v>
      </c>
      <c r="AL37" s="268"/>
      <c r="AM37" s="268"/>
      <c r="AN37" s="1"/>
      <c r="AO37" s="151" t="s">
        <v>182</v>
      </c>
      <c r="AP37" s="268"/>
      <c r="AQ37" s="312" t="s">
        <v>309</v>
      </c>
      <c r="AR37" s="313"/>
      <c r="AS37" s="313" t="s">
        <v>205</v>
      </c>
      <c r="AT37" s="318"/>
      <c r="AU37" s="268" t="s">
        <v>309</v>
      </c>
      <c r="AV37" s="268"/>
      <c r="AW37" s="328" t="s">
        <v>206</v>
      </c>
      <c r="AX37" s="149"/>
      <c r="AY37" s="268" t="s">
        <v>309</v>
      </c>
      <c r="AZ37" s="149"/>
    </row>
    <row r="38" spans="1:52" ht="9.75" customHeight="1">
      <c r="A38" s="1"/>
      <c r="B38" s="1"/>
      <c r="C38" s="265">
        <f>C17</f>
        <v>1</v>
      </c>
      <c r="D38" s="265"/>
      <c r="E38" s="307">
        <f>H38*4.1868</f>
        <v>1.006004304</v>
      </c>
      <c r="F38" s="308"/>
      <c r="G38" s="308"/>
      <c r="H38" s="237">
        <f aca="true" t="shared" si="10" ref="H38:H52">ehdacpm*C38</f>
        <v>0.24028</v>
      </c>
      <c r="I38" s="217"/>
      <c r="J38" s="217"/>
      <c r="K38" s="237">
        <f>fprop("Vapor","Dry Air",C38,C36,pressconv(Q11,upsg(T11),"kg/cm2.g")-1.033227,"kg/cm2.g","",0,0,3)</f>
        <v>0.2400302281915736</v>
      </c>
      <c r="L38" s="217"/>
      <c r="M38" s="264"/>
      <c r="N38" s="235">
        <f>(K38-H38)/H38*100</f>
        <v>-0.10395031148093521</v>
      </c>
      <c r="O38" s="239"/>
      <c r="P38" s="307">
        <f>S38*4.1868</f>
        <v>11.166598259614931</v>
      </c>
      <c r="Q38" s="308"/>
      <c r="R38" s="309"/>
      <c r="S38" s="237">
        <f aca="true" t="shared" si="11" ref="S38:S52">H38+T17*(ehwvlheat+ehwvcpm*C38)</f>
        <v>2.667096173596764</v>
      </c>
      <c r="T38" s="217"/>
      <c r="U38" s="238"/>
      <c r="V38" s="217">
        <f aca="true" t="shared" si="12" ref="V38:V52">H38+T17*ehwvcpm*C38</f>
        <v>0.24203022086472226</v>
      </c>
      <c r="W38" s="217"/>
      <c r="X38" s="217"/>
      <c r="Y38" s="237">
        <f aca="true" t="shared" si="13" ref="Y38:Y52">AK38/(1-Q17)</f>
        <v>0.24196770188980726</v>
      </c>
      <c r="Z38" s="217"/>
      <c r="AA38" s="217"/>
      <c r="AB38" s="235">
        <f>(Y38-V38)/V38*100</f>
        <v>-0.025831061382180512</v>
      </c>
      <c r="AC38" s="236"/>
      <c r="AD38" s="45"/>
      <c r="AE38" s="43"/>
      <c r="AF38" s="43"/>
      <c r="AG38" s="43"/>
      <c r="AH38" s="43"/>
      <c r="AK38" s="217">
        <f>gmprop(C38,C36,pressconv(Q11,upsg(T11),"kg/cm2.g")-1.033227,"kg/cm2.g",AN16,AP16,AR16,AT16,AV16,"","","","","",AN17,AP17,AR17,AT17,AV17,0,0,0,0,0,AU15,3)</f>
        <v>0.24098935572501348</v>
      </c>
      <c r="AL38" s="217"/>
      <c r="AM38" s="217"/>
      <c r="AO38" s="237">
        <f>maprop(C38,C36,100,pressconv(Q11,upsg(T11),"kg/cm2.g")-1.033227,"kg/cm2.g",1)</f>
        <v>0.7817404606196617</v>
      </c>
      <c r="AP38" s="217"/>
      <c r="AQ38" s="314">
        <f aca="true" t="shared" si="14" ref="AQ38:AQ52">(AO38/AC17-1)*100</f>
        <v>1.623650121018727E-05</v>
      </c>
      <c r="AR38" s="315"/>
      <c r="AS38" s="325">
        <f>maprop(C38,C36,0,pressconv(Q11,upsg(T11),"kg/cm2.g")-1.033227,"kg/cm2.g",3)</f>
        <v>0.2403</v>
      </c>
      <c r="AT38" s="326"/>
      <c r="AU38" s="236">
        <f aca="true" t="shared" si="15" ref="AU38:AU52">(AS38/H38-1)*100</f>
        <v>0.008323622440498113</v>
      </c>
      <c r="AV38" s="236"/>
      <c r="AW38" s="288">
        <f>maprop(C38,C36,100,pressconv(Q11,upsg(T11),"kg/cm2.g")-1.033227,"kg/cm2.g",3)</f>
        <v>2.667176854556791</v>
      </c>
      <c r="AX38" s="264"/>
      <c r="AY38" s="236">
        <f aca="true" t="shared" si="16" ref="AY38:AY52">(AW38/S38-1)*100</f>
        <v>0.0030250487712324414</v>
      </c>
      <c r="AZ38" s="329"/>
    </row>
    <row r="39" spans="1:52" ht="9.75" customHeight="1">
      <c r="A39" s="1"/>
      <c r="B39" s="1"/>
      <c r="C39" s="251">
        <f>C18</f>
        <v>5</v>
      </c>
      <c r="D39" s="251"/>
      <c r="E39" s="225">
        <f>H39*4.1868</f>
        <v>5.03002152</v>
      </c>
      <c r="F39" s="215"/>
      <c r="G39" s="215"/>
      <c r="H39" s="224">
        <f t="shared" si="10"/>
        <v>1.2014</v>
      </c>
      <c r="I39" s="218"/>
      <c r="J39" s="218"/>
      <c r="K39" s="224">
        <f>fprop("Vapor","Dry Air",C39,C36,pressconv(Q11,upsg(T11),"kg/cm2.g")-1.033227,"kg/cm2.g","",0,0,3)</f>
        <v>1.2008851300416772</v>
      </c>
      <c r="L39" s="218"/>
      <c r="M39" s="242"/>
      <c r="N39" s="221">
        <f aca="true" t="shared" si="17" ref="N39:N52">(K39-H39)/H39*100</f>
        <v>-0.04285583139028124</v>
      </c>
      <c r="O39" s="222"/>
      <c r="P39" s="225">
        <f>S39*4.1868</f>
        <v>18.589609327113376</v>
      </c>
      <c r="Q39" s="215"/>
      <c r="R39" s="226"/>
      <c r="S39" s="224">
        <f t="shared" si="11"/>
        <v>4.440051907689256</v>
      </c>
      <c r="T39" s="218"/>
      <c r="U39" s="243"/>
      <c r="V39" s="218">
        <f t="shared" si="12"/>
        <v>1.213044992227287</v>
      </c>
      <c r="W39" s="218"/>
      <c r="X39" s="218"/>
      <c r="Y39" s="224">
        <f t="shared" si="13"/>
        <v>1.2128657053284775</v>
      </c>
      <c r="Z39" s="218"/>
      <c r="AA39" s="218"/>
      <c r="AB39" s="221">
        <f aca="true" t="shared" si="18" ref="AB39:AB52">(Y39-V39)/V39*100</f>
        <v>-0.01477990511137898</v>
      </c>
      <c r="AC39" s="223"/>
      <c r="AD39" s="38"/>
      <c r="AE39" s="34"/>
      <c r="AF39" s="34"/>
      <c r="AG39" s="34"/>
      <c r="AH39" s="34"/>
      <c r="AK39" s="218">
        <f>gmprop(C39,C36,pressconv(Q11,upsg(T11),"kg/cm2.g")-1.033227,"kg/cm2.g",AN16,AP16,AR16,AT16,AV16,"","","","","",AN18,AP18,AR18,AT18,AV18,0,0,0,0,0,AU15,3)</f>
        <v>1.2063487624992417</v>
      </c>
      <c r="AL39" s="218"/>
      <c r="AM39" s="218"/>
      <c r="AO39" s="224">
        <f>maprop(C39,C36,100,pressconv(Q11,upsg(T11),"kg/cm2.g")-1.033227,"kg/cm2.g",1)</f>
        <v>0.7948479143307088</v>
      </c>
      <c r="AP39" s="218"/>
      <c r="AQ39" s="310">
        <f t="shared" si="14"/>
        <v>8.782784799432619E-05</v>
      </c>
      <c r="AR39" s="311"/>
      <c r="AS39" s="319">
        <f>maprop(C39,C36,0,pressconv(Q11,upsg(T11),"kg/cm2.g")-1.033227,"kg/cm2.g",3)</f>
        <v>1.2015</v>
      </c>
      <c r="AT39" s="320"/>
      <c r="AU39" s="223">
        <f t="shared" si="15"/>
        <v>0.008323622440475908</v>
      </c>
      <c r="AV39" s="223"/>
      <c r="AW39" s="266">
        <f>maprop(C39,C36,100,pressconv(Q11,upsg(T11),"kg/cm2.g")-1.033227,"kg/cm2.g",3)</f>
        <v>4.440481702225025</v>
      </c>
      <c r="AX39" s="242"/>
      <c r="AY39" s="223">
        <f t="shared" si="16"/>
        <v>0.009679943944451708</v>
      </c>
      <c r="AZ39" s="330"/>
    </row>
    <row r="40" spans="1:52" ht="9.75" customHeight="1">
      <c r="A40" s="1"/>
      <c r="B40" s="1"/>
      <c r="C40" s="251">
        <f aca="true" t="shared" si="19" ref="C40:C50">C19</f>
        <v>10</v>
      </c>
      <c r="D40" s="251"/>
      <c r="E40" s="225">
        <f aca="true" t="shared" si="20" ref="E40:E51">H40*4.1868</f>
        <v>10.06004304</v>
      </c>
      <c r="F40" s="215"/>
      <c r="G40" s="215"/>
      <c r="H40" s="224">
        <f t="shared" si="10"/>
        <v>2.4028</v>
      </c>
      <c r="I40" s="218"/>
      <c r="J40" s="218"/>
      <c r="K40" s="224">
        <f>fprop("Vapor","Dry Air",C40,C36,pressconv(Q11,upsg(T11),"kg/cm2.g")-1.033227,"kg/cm2.g","",0,0,3)</f>
        <v>2.403193622171255</v>
      </c>
      <c r="L40" s="218"/>
      <c r="M40" s="242"/>
      <c r="N40" s="221">
        <f t="shared" si="17"/>
        <v>0.01638181168864766</v>
      </c>
      <c r="O40" s="222"/>
      <c r="P40" s="225">
        <f aca="true" t="shared" si="21" ref="P40:P51">S40*4.1868</f>
        <v>29.28134838163854</v>
      </c>
      <c r="Q40" s="215"/>
      <c r="R40" s="226"/>
      <c r="S40" s="224">
        <f t="shared" si="11"/>
        <v>6.993729908674535</v>
      </c>
      <c r="T40" s="218"/>
      <c r="U40" s="243"/>
      <c r="V40" s="218">
        <f t="shared" si="12"/>
        <v>2.435696282861979</v>
      </c>
      <c r="W40" s="218"/>
      <c r="X40" s="218"/>
      <c r="Y40" s="224">
        <f t="shared" si="13"/>
        <v>2.4357480740755197</v>
      </c>
      <c r="Z40" s="218"/>
      <c r="AA40" s="218"/>
      <c r="AB40" s="221">
        <f t="shared" si="18"/>
        <v>0.0021263411988326794</v>
      </c>
      <c r="AC40" s="223"/>
      <c r="AD40" s="38"/>
      <c r="AE40" s="34"/>
      <c r="AF40" s="34"/>
      <c r="AG40" s="34"/>
      <c r="AH40" s="34"/>
      <c r="AK40" s="218">
        <f>gmprop(C40,C36,pressconv(Q11,upsg(T11),"kg/cm2.g")-1.033227,"kg/cm2.g",AN16,AP16,AR16,AT16,AV16,"","","","","",AN19,AP19,AR19,AT19,AV19,0,0,0,0,0,AU15,3)</f>
        <v>2.4173030276474696</v>
      </c>
      <c r="AL40" s="218"/>
      <c r="AM40" s="218"/>
      <c r="AO40" s="224">
        <f>maprop(C40,C36,100,pressconv(Q11,upsg(T11),"kg/cm2.g")-1.033227,"kg/cm2.g",1)</f>
        <v>0.8120106082718369</v>
      </c>
      <c r="AP40" s="218"/>
      <c r="AQ40" s="310">
        <f t="shared" si="14"/>
        <v>0.0001884372715865723</v>
      </c>
      <c r="AR40" s="311"/>
      <c r="AS40" s="319">
        <f>maprop(C40,C36,0,pressconv(Q11,upsg(T11),"kg/cm2.g")-1.033227,"kg/cm2.g",3)</f>
        <v>2.403</v>
      </c>
      <c r="AT40" s="320"/>
      <c r="AU40" s="223">
        <f t="shared" si="15"/>
        <v>0.008323622440475908</v>
      </c>
      <c r="AV40" s="223"/>
      <c r="AW40" s="266">
        <f>maprop(C40,C36,100,pressconv(Q11,upsg(T11),"kg/cm2.g")-1.033227,"kg/cm2.g",3)</f>
        <v>6.994642200188398</v>
      </c>
      <c r="AX40" s="242"/>
      <c r="AY40" s="223">
        <f t="shared" si="16"/>
        <v>0.013044420155994274</v>
      </c>
      <c r="AZ40" s="330"/>
    </row>
    <row r="41" spans="1:52" ht="9.75" customHeight="1">
      <c r="A41" s="6"/>
      <c r="B41" s="6"/>
      <c r="C41" s="251">
        <f t="shared" si="19"/>
        <v>15</v>
      </c>
      <c r="D41" s="251"/>
      <c r="E41" s="225">
        <f t="shared" si="20"/>
        <v>15.09006456</v>
      </c>
      <c r="F41" s="215"/>
      <c r="G41" s="215"/>
      <c r="H41" s="224">
        <f t="shared" si="10"/>
        <v>3.6042</v>
      </c>
      <c r="I41" s="218"/>
      <c r="J41" s="218"/>
      <c r="K41" s="224">
        <f>fprop("Vapor","Dry Air",C41,C36,pressconv(Q11,upsg(T11),"kg/cm2.g")-1.033227,"kg/cm2.g","",0,0,3)</f>
        <v>3.6057690207855515</v>
      </c>
      <c r="L41" s="218"/>
      <c r="M41" s="242"/>
      <c r="N41" s="221">
        <f t="shared" si="17"/>
        <v>0.04353312206735014</v>
      </c>
      <c r="O41" s="222"/>
      <c r="P41" s="225">
        <f t="shared" si="21"/>
        <v>42.008777734089016</v>
      </c>
      <c r="Q41" s="215"/>
      <c r="R41" s="226"/>
      <c r="S41" s="224">
        <f t="shared" si="11"/>
        <v>10.033624184123678</v>
      </c>
      <c r="T41" s="218"/>
      <c r="U41" s="243"/>
      <c r="V41" s="218">
        <f t="shared" si="12"/>
        <v>3.673058303236828</v>
      </c>
      <c r="W41" s="218"/>
      <c r="X41" s="218"/>
      <c r="Y41" s="224">
        <f t="shared" si="13"/>
        <v>3.673928349833684</v>
      </c>
      <c r="Z41" s="218"/>
      <c r="AA41" s="218"/>
      <c r="AB41" s="221">
        <f t="shared" si="18"/>
        <v>0.023687252557068373</v>
      </c>
      <c r="AC41" s="223"/>
      <c r="AD41" s="38"/>
      <c r="AE41" s="34"/>
      <c r="AF41" s="34"/>
      <c r="AG41" s="34"/>
      <c r="AH41" s="34"/>
      <c r="AK41" s="218">
        <f>gmprop(C41,C36,pressconv(Q11,upsg(T11),"kg/cm2.g")-1.033227,"kg/cm2.g",AN16,AP16,AR16,AT16,AV16,"","","","","",AN20,AP20,AR20,AT20,AV20,0,0,0,0,0,AU15,3)</f>
        <v>3.635220623596231</v>
      </c>
      <c r="AL41" s="218"/>
      <c r="AM41" s="218"/>
      <c r="AO41" s="224">
        <f>maprop(C41,C36,100,pressconv(Q11,upsg(T11),"kg/cm2.g")-1.033227,"kg/cm2.g",1)</f>
        <v>0.8303108910950628</v>
      </c>
      <c r="AP41" s="218"/>
      <c r="AQ41" s="310">
        <f t="shared" si="14"/>
        <v>0.000298251372510272</v>
      </c>
      <c r="AR41" s="311"/>
      <c r="AS41" s="319">
        <f>maprop(C41,C36,0,pressconv(Q11,upsg(T11),"kg/cm2.g")-1.033227,"kg/cm2.g",3)</f>
        <v>3.6045000000000003</v>
      </c>
      <c r="AT41" s="320"/>
      <c r="AU41" s="223">
        <f t="shared" si="15"/>
        <v>0.008323622440498113</v>
      </c>
      <c r="AV41" s="223"/>
      <c r="AW41" s="225">
        <f>maprop(C41,C36,100,pressconv(Q11,upsg(T11),"kg/cm2.g")-1.033227,"kg/cm2.g",3)</f>
        <v>10.035060275065318</v>
      </c>
      <c r="AX41" s="226"/>
      <c r="AY41" s="223">
        <f t="shared" si="16"/>
        <v>0.01431278384844692</v>
      </c>
      <c r="AZ41" s="330"/>
    </row>
    <row r="42" spans="1:52" ht="9.75" customHeight="1">
      <c r="A42" s="1"/>
      <c r="B42" s="1"/>
      <c r="C42" s="251">
        <f t="shared" si="19"/>
        <v>20</v>
      </c>
      <c r="D42" s="251"/>
      <c r="E42" s="225">
        <f t="shared" si="20"/>
        <v>20.12008608</v>
      </c>
      <c r="F42" s="215"/>
      <c r="G42" s="215"/>
      <c r="H42" s="224">
        <f t="shared" si="10"/>
        <v>4.8056</v>
      </c>
      <c r="I42" s="218"/>
      <c r="J42" s="218"/>
      <c r="K42" s="224">
        <f>fprop("Vapor","Dry Air",C42,C36,pressconv(Q11,upsg(T11),"kg/cm2.g")-1.033227,"kg/cm2.g","",0,0,3)</f>
        <v>4.8082</v>
      </c>
      <c r="L42" s="218"/>
      <c r="M42" s="242"/>
      <c r="N42" s="221">
        <f t="shared" si="17"/>
        <v>0.054103545863162926</v>
      </c>
      <c r="O42" s="222"/>
      <c r="P42" s="225">
        <f t="shared" si="21"/>
        <v>57.404492918988765</v>
      </c>
      <c r="Q42" s="215"/>
      <c r="R42" s="226"/>
      <c r="S42" s="224">
        <f t="shared" si="11"/>
        <v>13.710827581682613</v>
      </c>
      <c r="T42" s="218"/>
      <c r="U42" s="243"/>
      <c r="V42" s="218">
        <f t="shared" si="12"/>
        <v>4.932312758370348</v>
      </c>
      <c r="W42" s="218"/>
      <c r="X42" s="218"/>
      <c r="Y42" s="224">
        <f t="shared" si="13"/>
        <v>4.934853668660307</v>
      </c>
      <c r="Z42" s="218"/>
      <c r="AA42" s="218"/>
      <c r="AB42" s="221">
        <f t="shared" si="18"/>
        <v>0.05151559551138959</v>
      </c>
      <c r="AC42" s="223"/>
      <c r="AD42" s="38"/>
      <c r="AE42" s="34"/>
      <c r="AF42" s="34"/>
      <c r="AG42" s="34"/>
      <c r="AH42" s="34"/>
      <c r="AK42" s="218">
        <f>gmprop(C42,C36,pressconv(Q11,upsg(T11),"kg/cm2.g")-1.033227,"kg/cm2.g",AN16,AP16,AR16,AT16,AV16,"","","","","",AN21,AP21,AR21,AT21,AV21,0,0,0,0,0,AU15,3)</f>
        <v>4.863382544927018</v>
      </c>
      <c r="AL42" s="218"/>
      <c r="AM42" s="218"/>
      <c r="AO42" s="224">
        <f>maprop(C42,C36,100,pressconv(Q11,upsg(T11),"kg/cm2.g")-1.033227,"kg/cm2.g",1)</f>
        <v>0.8501243712573421</v>
      </c>
      <c r="AP42" s="218"/>
      <c r="AQ42" s="310">
        <f t="shared" si="14"/>
        <v>0.000415328179270702</v>
      </c>
      <c r="AR42" s="311"/>
      <c r="AS42" s="319">
        <f>maprop(C42,C36,0,pressconv(Q11,upsg(T11),"kg/cm2.g")-1.033227,"kg/cm2.g",3)</f>
        <v>4.806</v>
      </c>
      <c r="AT42" s="320"/>
      <c r="AU42" s="223">
        <f t="shared" si="15"/>
        <v>0.008323622440475908</v>
      </c>
      <c r="AV42" s="223"/>
      <c r="AW42" s="225">
        <f>maprop(C42,C36,100,pressconv(Q11,upsg(T11),"kg/cm2.g")-1.033227,"kg/cm2.g",3)</f>
        <v>13.712824059276151</v>
      </c>
      <c r="AX42" s="226"/>
      <c r="AY42" s="223">
        <f t="shared" si="16"/>
        <v>0.014561320836725677</v>
      </c>
      <c r="AZ42" s="330"/>
    </row>
    <row r="43" spans="1:52" ht="9.75" customHeight="1">
      <c r="A43" s="6"/>
      <c r="B43" s="6"/>
      <c r="C43" s="251">
        <f t="shared" si="19"/>
        <v>25</v>
      </c>
      <c r="D43" s="251"/>
      <c r="E43" s="225">
        <f t="shared" si="20"/>
        <v>25.1501076</v>
      </c>
      <c r="F43" s="215"/>
      <c r="G43" s="215"/>
      <c r="H43" s="224">
        <f t="shared" si="10"/>
        <v>6.007</v>
      </c>
      <c r="I43" s="218"/>
      <c r="J43" s="218"/>
      <c r="K43" s="224">
        <f>fprop("Vapor","Dry Air",C43,C36,pressconv(Q11,upsg(T11),"kg/cm2.g")-1.033227,"kg/cm2.g","",0,0,3)</f>
        <v>6.01089055630814</v>
      </c>
      <c r="L43" s="218"/>
      <c r="M43" s="242"/>
      <c r="N43" s="221">
        <f t="shared" si="17"/>
        <v>0.06476704358482054</v>
      </c>
      <c r="O43" s="222"/>
      <c r="P43" s="225">
        <f t="shared" si="21"/>
        <v>76.28134091018381</v>
      </c>
      <c r="Q43" s="215"/>
      <c r="R43" s="226"/>
      <c r="S43" s="224">
        <f t="shared" si="11"/>
        <v>18.21948526564054</v>
      </c>
      <c r="T43" s="218"/>
      <c r="U43" s="243"/>
      <c r="V43" s="218">
        <f t="shared" si="12"/>
        <v>6.223444837588589</v>
      </c>
      <c r="W43" s="218"/>
      <c r="X43" s="218"/>
      <c r="Y43" s="224">
        <f t="shared" si="13"/>
        <v>6.228901377915514</v>
      </c>
      <c r="Z43" s="218"/>
      <c r="AA43" s="218"/>
      <c r="AB43" s="221">
        <f t="shared" si="18"/>
        <v>0.08767717027019518</v>
      </c>
      <c r="AC43" s="223"/>
      <c r="AD43" s="38"/>
      <c r="AE43" s="34"/>
      <c r="AF43" s="34"/>
      <c r="AG43" s="34"/>
      <c r="AH43" s="34"/>
      <c r="AK43" s="218">
        <f>gmprop(C43,C36,pressconv(Q11,upsg(T11),"kg/cm2.g")-1.033227,"kg/cm2.g",AN16,AP16,AR16,AT16,AV16,"","","","","",AN22,AP22,AR22,AT22,AV22,0,0,0,0,0,AU15,3)</f>
        <v>6.106274581654833</v>
      </c>
      <c r="AL43" s="218"/>
      <c r="AM43" s="218"/>
      <c r="AO43" s="224">
        <f>maprop(C43,C36,100,pressconv(Q11,upsg(T11),"kg/cm2.g")-1.033227,"kg/cm2.g",1)</f>
        <v>0.871940131921148</v>
      </c>
      <c r="AP43" s="218"/>
      <c r="AQ43" s="310">
        <f t="shared" si="14"/>
        <v>0.0005404208148984679</v>
      </c>
      <c r="AR43" s="311"/>
      <c r="AS43" s="319">
        <f>maprop(C43,C36,0,pressconv(Q11,upsg(T11),"kg/cm2.g")-1.033227,"kg/cm2.g",3)</f>
        <v>6.0075</v>
      </c>
      <c r="AT43" s="320"/>
      <c r="AU43" s="223">
        <f t="shared" si="15"/>
        <v>0.008323622440498113</v>
      </c>
      <c r="AV43" s="223"/>
      <c r="AW43" s="225">
        <f>maprop(C43,C36,100,pressconv(Q11,upsg(T11),"kg/cm2.g")-1.033227,"kg/cm2.g",3)</f>
        <v>18.222085312170883</v>
      </c>
      <c r="AX43" s="226"/>
      <c r="AY43" s="223">
        <f t="shared" si="16"/>
        <v>0.014270691473639019</v>
      </c>
      <c r="AZ43" s="330"/>
    </row>
    <row r="44" spans="1:52" ht="9.75" customHeight="1">
      <c r="A44" s="6"/>
      <c r="B44" s="6"/>
      <c r="C44" s="251">
        <f t="shared" si="19"/>
        <v>30</v>
      </c>
      <c r="D44" s="251"/>
      <c r="E44" s="225">
        <f t="shared" si="20"/>
        <v>30.18012912</v>
      </c>
      <c r="F44" s="215"/>
      <c r="G44" s="215"/>
      <c r="H44" s="224">
        <f t="shared" si="10"/>
        <v>7.2084</v>
      </c>
      <c r="I44" s="218"/>
      <c r="J44" s="218"/>
      <c r="K44" s="224">
        <f>fprop("Vapor","Dry Air",C44,C36,pressconv(Q11,upsg(T11),"kg/cm2.g")-1.033227,"kg/cm2.g","",0,0,3)</f>
        <v>7.2134784772225915</v>
      </c>
      <c r="L44" s="218"/>
      <c r="M44" s="242"/>
      <c r="N44" s="221">
        <f t="shared" si="17"/>
        <v>0.07045221162243161</v>
      </c>
      <c r="O44" s="222"/>
      <c r="P44" s="225">
        <f t="shared" si="21"/>
        <v>99.6897439336365</v>
      </c>
      <c r="Q44" s="215"/>
      <c r="R44" s="226"/>
      <c r="S44" s="224">
        <f t="shared" si="11"/>
        <v>23.810486274394886</v>
      </c>
      <c r="T44" s="218"/>
      <c r="U44" s="243"/>
      <c r="V44" s="218">
        <f t="shared" si="12"/>
        <v>7.560244196761168</v>
      </c>
      <c r="W44" s="218"/>
      <c r="X44" s="218"/>
      <c r="Y44" s="224">
        <f t="shared" si="13"/>
        <v>7.570506596826154</v>
      </c>
      <c r="Z44" s="218"/>
      <c r="AA44" s="218"/>
      <c r="AB44" s="221">
        <f t="shared" si="18"/>
        <v>0.13574164799309021</v>
      </c>
      <c r="AC44" s="223"/>
      <c r="AD44" s="38"/>
      <c r="AE44" s="34"/>
      <c r="AF44" s="34"/>
      <c r="AG44" s="34"/>
      <c r="AH44" s="34"/>
      <c r="AK44" s="218">
        <f>gmprop(C44,C36,pressconv(Q11,upsg(T11),"kg/cm2.g")-1.033227,"kg/cm2.g",AN16,AP16,AR16,AT16,AV16,"","","","","",AN23,AP23,AR23,AT23,AV23,0,0,0,0,0,AU15,3)</f>
        <v>7.370013578061694</v>
      </c>
      <c r="AL44" s="218"/>
      <c r="AM44" s="218"/>
      <c r="AO44" s="224">
        <f>maprop(C44,C36,100,pressconv(Q11,upsg(T11),"kg/cm2.g")-1.033227,"kg/cm2.g",1)</f>
        <v>0.8963977517712858</v>
      </c>
      <c r="AP44" s="218"/>
      <c r="AQ44" s="310">
        <f t="shared" si="14"/>
        <v>0.0006779951017499286</v>
      </c>
      <c r="AR44" s="311"/>
      <c r="AS44" s="319">
        <f>maprop(C44,C36,0,pressconv(Q11,upsg(T11),"kg/cm2.g")-1.033227,"kg/cm2.g",3)</f>
        <v>7.2090000000000005</v>
      </c>
      <c r="AT44" s="320"/>
      <c r="AU44" s="223">
        <f t="shared" si="15"/>
        <v>0.008323622440498113</v>
      </c>
      <c r="AV44" s="223"/>
      <c r="AW44" s="225">
        <f>maprop(C44,C36,100,pressconv(Q11,upsg(T11),"kg/cm2.g")-1.033227,"kg/cm2.g",3)</f>
        <v>23.813756053034517</v>
      </c>
      <c r="AX44" s="226"/>
      <c r="AY44" s="223">
        <f t="shared" si="16"/>
        <v>0.013732515169784243</v>
      </c>
      <c r="AZ44" s="330"/>
    </row>
    <row r="45" spans="1:52" ht="9.75" customHeight="1">
      <c r="A45" s="1"/>
      <c r="B45" s="1"/>
      <c r="C45" s="251">
        <f t="shared" si="19"/>
        <v>35</v>
      </c>
      <c r="D45" s="251"/>
      <c r="E45" s="225">
        <f t="shared" si="20"/>
        <v>35.21015064</v>
      </c>
      <c r="F45" s="215"/>
      <c r="G45" s="215"/>
      <c r="H45" s="224">
        <f t="shared" si="10"/>
        <v>8.4098</v>
      </c>
      <c r="I45" s="218"/>
      <c r="J45" s="218"/>
      <c r="K45" s="224">
        <f>fprop("Vapor","Dry Air",C45,C36,pressconv(Q11,upsg(T11),"kg/cm2.g")-1.033227,"kg/cm2.g","",0,0,3)</f>
        <v>8.415953056308139</v>
      </c>
      <c r="L45" s="218"/>
      <c r="M45" s="242"/>
      <c r="N45" s="221">
        <f t="shared" si="17"/>
        <v>0.07316531080570292</v>
      </c>
      <c r="O45" s="222"/>
      <c r="P45" s="225">
        <f t="shared" si="21"/>
        <v>129.00073710620572</v>
      </c>
      <c r="Q45" s="215"/>
      <c r="R45" s="226"/>
      <c r="S45" s="224">
        <f t="shared" si="11"/>
        <v>30.811296719739595</v>
      </c>
      <c r="T45" s="218"/>
      <c r="U45" s="243"/>
      <c r="V45" s="218">
        <f t="shared" si="12"/>
        <v>8.961725259362064</v>
      </c>
      <c r="W45" s="218"/>
      <c r="X45" s="218"/>
      <c r="Y45" s="224">
        <f t="shared" si="13"/>
        <v>8.9795282976224</v>
      </c>
      <c r="Z45" s="218"/>
      <c r="AA45" s="218"/>
      <c r="AB45" s="221">
        <f t="shared" si="18"/>
        <v>0.1986563719049263</v>
      </c>
      <c r="AC45" s="223"/>
      <c r="AD45" s="38"/>
      <c r="AE45" s="34"/>
      <c r="AF45" s="34"/>
      <c r="AG45" s="34"/>
      <c r="AH45" s="34"/>
      <c r="AK45" s="218">
        <f>gmprop(C45,C36,pressconv(Q11,upsg(T11),"kg/cm2.g")-1.033227,"kg/cm2.g",AN16,AP16,AR16,AT16,AV16,"","","","","",AN24,AP24,AR24,AT24,AV24,0,0,0,0,0,AU15,3)</f>
        <v>8.66266947816836</v>
      </c>
      <c r="AL45" s="218"/>
      <c r="AM45" s="218"/>
      <c r="AO45" s="224">
        <f>maprop(C45,C36,100,pressconv(Q11,upsg(T11),"kg/cm2.g")-1.033227,"kg/cm2.g",1)</f>
        <v>0.924340674033235</v>
      </c>
      <c r="AP45" s="218"/>
      <c r="AQ45" s="310">
        <f t="shared" si="14"/>
        <v>0.0008368298435978971</v>
      </c>
      <c r="AR45" s="311"/>
      <c r="AS45" s="319">
        <f>maprop(C45,C36,0,pressconv(Q11,upsg(T11),"kg/cm2.g")-1.033227,"kg/cm2.g",3)</f>
        <v>8.4105</v>
      </c>
      <c r="AT45" s="320"/>
      <c r="AU45" s="223">
        <f t="shared" si="15"/>
        <v>0.008323622440498113</v>
      </c>
      <c r="AV45" s="223"/>
      <c r="AW45" s="225">
        <f>maprop(C45,C36,100,pressconv(Q11,upsg(T11),"kg/cm2.g")-1.033227,"kg/cm2.g",3)</f>
        <v>30.81534624284506</v>
      </c>
      <c r="AX45" s="226"/>
      <c r="AY45" s="223">
        <f t="shared" si="16"/>
        <v>0.013142981752123362</v>
      </c>
      <c r="AZ45" s="330"/>
    </row>
    <row r="46" spans="1:52" ht="9.75" customHeight="1">
      <c r="A46" s="6"/>
      <c r="B46" s="6"/>
      <c r="C46" s="251">
        <f t="shared" si="19"/>
        <v>40</v>
      </c>
      <c r="D46" s="251"/>
      <c r="E46" s="225">
        <f t="shared" si="20"/>
        <v>40.24017216</v>
      </c>
      <c r="F46" s="215"/>
      <c r="G46" s="215"/>
      <c r="H46" s="224">
        <f t="shared" si="10"/>
        <v>9.6112</v>
      </c>
      <c r="I46" s="218"/>
      <c r="J46" s="218"/>
      <c r="K46" s="224">
        <f>fprop("Vapor","Dry Air",C46,C36,pressconv(Q11,upsg(T11),"kg/cm2.g")-1.033227,"kg/cm2.g","",0,0,3)</f>
        <v>9.618400000000001</v>
      </c>
      <c r="L46" s="218"/>
      <c r="M46" s="242"/>
      <c r="N46" s="221">
        <f t="shared" si="17"/>
        <v>0.07491260196438512</v>
      </c>
      <c r="O46" s="222"/>
      <c r="P46" s="225">
        <f t="shared" si="21"/>
        <v>166.0302514077529</v>
      </c>
      <c r="Q46" s="215"/>
      <c r="R46" s="226"/>
      <c r="S46" s="224">
        <f t="shared" si="11"/>
        <v>39.655644264773315</v>
      </c>
      <c r="T46" s="218"/>
      <c r="U46" s="243"/>
      <c r="V46" s="218">
        <f t="shared" si="12"/>
        <v>10.454211415744426</v>
      </c>
      <c r="W46" s="218"/>
      <c r="X46" s="218"/>
      <c r="Y46" s="224">
        <f t="shared" si="13"/>
        <v>10.483465178754503</v>
      </c>
      <c r="Z46" s="218"/>
      <c r="AA46" s="218"/>
      <c r="AB46" s="221">
        <f t="shared" si="18"/>
        <v>0.2798275436253361</v>
      </c>
      <c r="AC46" s="223"/>
      <c r="AD46" s="38"/>
      <c r="AE46" s="34"/>
      <c r="AF46" s="34"/>
      <c r="AG46" s="34"/>
      <c r="AH46" s="34"/>
      <c r="AK46" s="218">
        <f>gmprop(C46,C36,pressconv(Q11,upsg(T11),"kg/cm2.g")-1.033227,"kg/cm2.g",AN16,AP16,AR16,AT16,AV16,"","","","","",AN25,AP25,AR25,AT25,AV25,0,0,0,0,0,AU15,3)</f>
        <v>9.994866496519432</v>
      </c>
      <c r="AL46" s="218"/>
      <c r="AM46" s="218"/>
      <c r="AO46" s="224">
        <f>maprop(C46,C36,100,pressconv(Q11,upsg(T11),"kg/cm2.g")-1.033227,"kg/cm2.g",1)</f>
        <v>0.9568957245538251</v>
      </c>
      <c r="AP46" s="218"/>
      <c r="AQ46" s="310">
        <f t="shared" si="14"/>
        <v>0.0010300482976344227</v>
      </c>
      <c r="AR46" s="311"/>
      <c r="AS46" s="319">
        <f>maprop(C46,C36,0,pressconv(Q11,upsg(T11),"kg/cm2.g")-1.033227,"kg/cm2.g",3)</f>
        <v>9.612</v>
      </c>
      <c r="AT46" s="320"/>
      <c r="AU46" s="223">
        <f t="shared" si="15"/>
        <v>0.008323622440475908</v>
      </c>
      <c r="AV46" s="223"/>
      <c r="AW46" s="225">
        <f>maprop(C46,C36,100,pressconv(Q11,upsg(T11),"kg/cm2.g")-1.033227,"kg/cm2.g",3)</f>
        <v>39.660652114089885</v>
      </c>
      <c r="AX46" s="226"/>
      <c r="AY46" s="223">
        <f t="shared" si="16"/>
        <v>0.012628339318188075</v>
      </c>
      <c r="AZ46" s="330"/>
    </row>
    <row r="47" spans="1:52" ht="9.75" customHeight="1">
      <c r="A47" s="6"/>
      <c r="B47" s="6"/>
      <c r="C47" s="251">
        <f t="shared" si="19"/>
        <v>45</v>
      </c>
      <c r="D47" s="251"/>
      <c r="E47" s="225">
        <f t="shared" si="20"/>
        <v>45.27019368</v>
      </c>
      <c r="F47" s="215"/>
      <c r="G47" s="215"/>
      <c r="H47" s="224">
        <f t="shared" si="10"/>
        <v>10.8126</v>
      </c>
      <c r="I47" s="218"/>
      <c r="J47" s="218"/>
      <c r="K47" s="224">
        <f>fprop("Vapor","Dry Air",C47,C36,pressconv(Q11,upsg(T11),"kg/cm2.g")-1.033227,"kg/cm2.g","",0,0,3)</f>
        <v>10.821561328124998</v>
      </c>
      <c r="L47" s="218"/>
      <c r="M47" s="242"/>
      <c r="N47" s="221">
        <f t="shared" si="17"/>
        <v>0.0828785687531075</v>
      </c>
      <c r="O47" s="222"/>
      <c r="P47" s="225">
        <f t="shared" si="21"/>
        <v>213.231513019712</v>
      </c>
      <c r="Q47" s="215"/>
      <c r="R47" s="226"/>
      <c r="S47" s="224">
        <f t="shared" si="11"/>
        <v>50.929471916430685</v>
      </c>
      <c r="T47" s="218"/>
      <c r="U47" s="243"/>
      <c r="V47" s="218">
        <f t="shared" si="12"/>
        <v>12.074509780565236</v>
      </c>
      <c r="W47" s="218"/>
      <c r="X47" s="218"/>
      <c r="Y47" s="224">
        <f t="shared" si="13"/>
        <v>12.120897048572877</v>
      </c>
      <c r="Z47" s="218"/>
      <c r="AA47" s="218"/>
      <c r="AB47" s="221">
        <f t="shared" si="18"/>
        <v>0.3841751661198187</v>
      </c>
      <c r="AC47" s="223"/>
      <c r="AD47" s="38"/>
      <c r="AE47" s="34"/>
      <c r="AF47" s="34"/>
      <c r="AG47" s="34"/>
      <c r="AH47" s="34"/>
      <c r="AK47" s="218">
        <f>gmprop(C47,C36,pressconv(Q11,upsg(T11),"kg/cm2.g")-1.033227,"kg/cm2.g",AN16,AP16,AR16,AT16,AV16,"","","","","",AN26,AP26,AR26,AT26,AV26,0,0,0,0,0,AU15,3)</f>
        <v>11.380637189086828</v>
      </c>
      <c r="AL47" s="218"/>
      <c r="AM47" s="218"/>
      <c r="AO47" s="224">
        <f>maprop(C47,C36,100,pressconv(Q11,upsg(T11),"kg/cm2.g")-1.033227,"kg/cm2.g",1)</f>
        <v>0.9955957666183051</v>
      </c>
      <c r="AP47" s="218"/>
      <c r="AQ47" s="310">
        <f t="shared" si="14"/>
        <v>0.0012744997420099935</v>
      </c>
      <c r="AR47" s="311"/>
      <c r="AS47" s="321">
        <f>maprop(C47,C36,0,pressconv(Q11,upsg(T11),"kg/cm2.g")-1.033227,"kg/cm2.g",3)</f>
        <v>10.813500000000001</v>
      </c>
      <c r="AT47" s="322"/>
      <c r="AU47" s="223">
        <f t="shared" si="15"/>
        <v>0.008323622440498113</v>
      </c>
      <c r="AV47" s="223"/>
      <c r="AW47" s="225">
        <f>maprop(C47,C36,100,pressconv(Q11,upsg(T11),"kg/cm2.g")-1.033227,"kg/cm2.g",3)</f>
        <v>50.93571368181918</v>
      </c>
      <c r="AX47" s="226"/>
      <c r="AY47" s="223">
        <f t="shared" si="16"/>
        <v>0.012255704121066913</v>
      </c>
      <c r="AZ47" s="330"/>
    </row>
    <row r="48" spans="1:52" ht="9.75" customHeight="1">
      <c r="A48" s="1"/>
      <c r="B48" s="1"/>
      <c r="C48" s="251">
        <f t="shared" si="19"/>
        <v>50</v>
      </c>
      <c r="D48" s="251"/>
      <c r="E48" s="225">
        <f t="shared" si="20"/>
        <v>50.3002152</v>
      </c>
      <c r="F48" s="215"/>
      <c r="G48" s="215"/>
      <c r="H48" s="224">
        <f t="shared" si="10"/>
        <v>12.014</v>
      </c>
      <c r="I48" s="218"/>
      <c r="J48" s="218"/>
      <c r="K48" s="224">
        <f>fprop("Vapor","Dry Air",C48,C36,pressconv(Q11,upsg(T11),"kg/cm2.g")-1.033227,"kg/cm2.g","",0,0,3)</f>
        <v>12.02503125</v>
      </c>
      <c r="L48" s="218"/>
      <c r="M48" s="242"/>
      <c r="N48" s="221">
        <f t="shared" si="17"/>
        <v>0.09181996004661454</v>
      </c>
      <c r="O48" s="222"/>
      <c r="P48" s="225">
        <f t="shared" si="21"/>
        <v>274.0039129901844</v>
      </c>
      <c r="Q48" s="215"/>
      <c r="R48" s="226"/>
      <c r="S48" s="224">
        <f t="shared" si="11"/>
        <v>65.44471027758298</v>
      </c>
      <c r="T48" s="218"/>
      <c r="U48" s="243"/>
      <c r="V48" s="218">
        <f t="shared" si="12"/>
        <v>13.87494882056981</v>
      </c>
      <c r="W48" s="218"/>
      <c r="X48" s="218"/>
      <c r="Y48" s="224">
        <f t="shared" si="13"/>
        <v>13.946761855584937</v>
      </c>
      <c r="Z48" s="218"/>
      <c r="AA48" s="218"/>
      <c r="AB48" s="221">
        <f t="shared" si="18"/>
        <v>0.5175733326573683</v>
      </c>
      <c r="AC48" s="223"/>
      <c r="AD48" s="38"/>
      <c r="AE48" s="34"/>
      <c r="AF48" s="34"/>
      <c r="AG48" s="34"/>
      <c r="AH48" s="34"/>
      <c r="AK48" s="218">
        <f>gmprop(C48,C36,pressconv(Q11,upsg(T11),"kg/cm2.g")-1.033227,"kg/cm2.g",AN16,AP16,AR16,AT16,AV16,"","","","","",AN27,AP27,AR27,AT27,AV27,0,0,0,0,0,AU15,3)</f>
        <v>12.838410369454506</v>
      </c>
      <c r="AL48" s="218"/>
      <c r="AM48" s="218"/>
      <c r="AO48" s="224">
        <f>maprop(C48,C36,100,pressconv(Q11,upsg(T11),"kg/cm2.g")-1.033227,"kg/cm2.g",1)</f>
        <v>1.042576101223821</v>
      </c>
      <c r="AP48" s="218"/>
      <c r="AQ48" s="310">
        <f t="shared" si="14"/>
        <v>0.0015894881264966187</v>
      </c>
      <c r="AR48" s="311"/>
      <c r="AS48" s="321">
        <f>maprop(C48,C36,0,pressconv(Q11,upsg(T11),"kg/cm2.g")-1.033227,"kg/cm2.g",3)</f>
        <v>12.015</v>
      </c>
      <c r="AT48" s="322"/>
      <c r="AU48" s="223">
        <f t="shared" si="15"/>
        <v>0.008323622440498113</v>
      </c>
      <c r="AV48" s="223"/>
      <c r="AW48" s="225">
        <f>maprop(C48,C36,100,pressconv(Q11,upsg(T11),"kg/cm2.g")-1.033227,"kg/cm2.g",3)</f>
        <v>65.4525918520767</v>
      </c>
      <c r="AX48" s="226"/>
      <c r="AY48" s="223">
        <f t="shared" si="16"/>
        <v>0.012043103957948276</v>
      </c>
      <c r="AZ48" s="330"/>
    </row>
    <row r="49" spans="1:52" ht="9.75" customHeight="1">
      <c r="A49" s="6"/>
      <c r="B49" s="6"/>
      <c r="C49" s="251">
        <f t="shared" si="19"/>
        <v>60</v>
      </c>
      <c r="D49" s="251"/>
      <c r="E49" s="225">
        <f t="shared" si="20"/>
        <v>60.36025824</v>
      </c>
      <c r="F49" s="215"/>
      <c r="G49" s="215"/>
      <c r="H49" s="224">
        <f t="shared" si="10"/>
        <v>14.4168</v>
      </c>
      <c r="I49" s="218"/>
      <c r="J49" s="218"/>
      <c r="K49" s="224">
        <f>fprop("Vapor","Dry Air",C49,C36,pressconv(Q11,upsg(T11),"kg/cm2.g")-1.033227,"kg/cm2.g","",0,0,3)</f>
        <v>14.433000000000002</v>
      </c>
      <c r="L49" s="218"/>
      <c r="M49" s="242"/>
      <c r="N49" s="221">
        <f t="shared" si="17"/>
        <v>0.11236890294657152</v>
      </c>
      <c r="O49" s="222"/>
      <c r="P49" s="225">
        <f t="shared" si="21"/>
        <v>458.0802669249401</v>
      </c>
      <c r="Q49" s="215"/>
      <c r="R49" s="226"/>
      <c r="S49" s="224">
        <f t="shared" si="11"/>
        <v>109.41059208104998</v>
      </c>
      <c r="T49" s="218"/>
      <c r="U49" s="243"/>
      <c r="V49" s="218">
        <f t="shared" si="12"/>
        <v>18.35960423986844</v>
      </c>
      <c r="W49" s="218"/>
      <c r="X49" s="218"/>
      <c r="Y49" s="224">
        <f t="shared" si="13"/>
        <v>18.525526074685345</v>
      </c>
      <c r="Z49" s="218"/>
      <c r="AA49" s="218"/>
      <c r="AB49" s="221">
        <f t="shared" si="18"/>
        <v>0.9037331777370339</v>
      </c>
      <c r="AC49" s="223"/>
      <c r="AD49" s="38"/>
      <c r="AE49" s="34"/>
      <c r="AF49" s="34"/>
      <c r="AG49" s="34"/>
      <c r="AH49" s="34"/>
      <c r="AK49" s="218">
        <f>gmprop(C49,C36,pressconv(Q11,upsg(T11),"kg/cm2.g")-1.033227,"kg/cm2.g",AN16,AP16,AR16,AT16,AV16,"","","","","",AN28,AP28,AR28,AT28,AV28,0,0,0,0,0,AU15,3)</f>
        <v>16.075257293596938</v>
      </c>
      <c r="AL49" s="218"/>
      <c r="AM49" s="218"/>
      <c r="AO49" s="224">
        <f>maprop(C49,C36,100,pressconv(Q11,upsg(T11),"kg/cm2.g")-1.033227,"kg/cm2.g",1)</f>
        <v>1.175145961455677</v>
      </c>
      <c r="AP49" s="218"/>
      <c r="AQ49" s="310">
        <f t="shared" si="14"/>
        <v>0.002508899425635036</v>
      </c>
      <c r="AR49" s="311"/>
      <c r="AS49" s="321">
        <f>maprop(C49,C36,0,pressconv(Q11,upsg(T11),"kg/cm2.g")-1.033227,"kg/cm2.g",3)</f>
        <v>14.418000000000001</v>
      </c>
      <c r="AT49" s="322"/>
      <c r="AU49" s="223">
        <f t="shared" si="15"/>
        <v>0.008323622440498113</v>
      </c>
      <c r="AV49" s="223"/>
      <c r="AW49" s="269">
        <f>maprop(C49,C36,100,pressconv(Q11,upsg(T11),"kg/cm2.g")-1.033227,"kg/cm2.g",3)</f>
        <v>109.42371758376568</v>
      </c>
      <c r="AX49" s="333"/>
      <c r="AY49" s="223">
        <f t="shared" si="16"/>
        <v>0.011996555786830676</v>
      </c>
      <c r="AZ49" s="330"/>
    </row>
    <row r="50" spans="1:52" ht="9.75" customHeight="1">
      <c r="A50" s="1"/>
      <c r="B50" s="1"/>
      <c r="C50" s="251">
        <f t="shared" si="19"/>
        <v>70</v>
      </c>
      <c r="D50" s="251"/>
      <c r="E50" s="225">
        <f t="shared" si="20"/>
        <v>70.42030128</v>
      </c>
      <c r="F50" s="215"/>
      <c r="G50" s="215"/>
      <c r="H50" s="224">
        <f t="shared" si="10"/>
        <v>16.8196</v>
      </c>
      <c r="I50" s="218"/>
      <c r="J50" s="218"/>
      <c r="K50" s="224">
        <f>fprop("Vapor","Dry Air",C50,C36,pressconv(Q11,upsg(T11),"kg/cm2.g")-1.033227,"kg/cm2.g","",0,0,3)</f>
        <v>16.84283125</v>
      </c>
      <c r="L50" s="218"/>
      <c r="M50" s="242"/>
      <c r="N50" s="221">
        <f t="shared" si="17"/>
        <v>0.13812010987180717</v>
      </c>
      <c r="O50" s="222"/>
      <c r="P50" s="225">
        <f t="shared" si="21"/>
        <v>797.4096169459524</v>
      </c>
      <c r="Q50" s="215"/>
      <c r="R50" s="226"/>
      <c r="S50" s="224">
        <f t="shared" si="11"/>
        <v>190.4580149388441</v>
      </c>
      <c r="T50" s="218"/>
      <c r="U50" s="243"/>
      <c r="V50" s="218">
        <f t="shared" si="12"/>
        <v>25.170026118388286</v>
      </c>
      <c r="W50" s="218"/>
      <c r="X50" s="218"/>
      <c r="Y50" s="224">
        <f t="shared" si="13"/>
        <v>25.5524393618958</v>
      </c>
      <c r="Z50" s="218"/>
      <c r="AA50" s="218"/>
      <c r="AB50" s="231">
        <f t="shared" si="18"/>
        <v>1.519320010669903</v>
      </c>
      <c r="AC50" s="232"/>
      <c r="AD50" s="38"/>
      <c r="AE50" s="34"/>
      <c r="AF50" s="34"/>
      <c r="AG50" s="34"/>
      <c r="AH50" s="34"/>
      <c r="AK50" s="218">
        <f>gmprop(C50,C36,pressconv(Q11,upsg(T11),"kg/cm2.g")-1.033227,"kg/cm2.g",AN16,AP16,AR16,AT16,AV16,"","","","","",AN29,AP29,AR29,AT29,AV29,0,0,0,0,0,AU15,3)</f>
        <v>20.0144103448562</v>
      </c>
      <c r="AL50" s="218"/>
      <c r="AM50" s="218"/>
      <c r="AO50" s="224">
        <f>maprop(C50,C36,100,pressconv(Q11,upsg(T11),"kg/cm2.g")-1.033227,"kg/cm2.g",1)</f>
        <v>1.404689922325048</v>
      </c>
      <c r="AP50" s="218"/>
      <c r="AQ50" s="310">
        <f t="shared" si="14"/>
        <v>0.003908772839911201</v>
      </c>
      <c r="AR50" s="311"/>
      <c r="AS50" s="321">
        <f>maprop(C50,C36,0,pressconv(Q11,upsg(T11),"kg/cm2.g")-1.033227,"kg/cm2.g",3)</f>
        <v>16.821</v>
      </c>
      <c r="AT50" s="322"/>
      <c r="AU50" s="223">
        <f t="shared" si="15"/>
        <v>0.008323622440498113</v>
      </c>
      <c r="AV50" s="223"/>
      <c r="AW50" s="269">
        <f>maprop(C50,C36,100,pressconv(Q11,upsg(T11),"kg/cm2.g")-1.033227,"kg/cm2.g",3)</f>
        <v>190.4810708553763</v>
      </c>
      <c r="AX50" s="333"/>
      <c r="AY50" s="223">
        <f t="shared" si="16"/>
        <v>0.012105511306303995</v>
      </c>
      <c r="AZ50" s="330"/>
    </row>
    <row r="51" spans="1:52" ht="9.75" customHeight="1">
      <c r="A51" s="1"/>
      <c r="B51" s="1"/>
      <c r="C51" s="251">
        <f>C30</f>
        <v>80</v>
      </c>
      <c r="D51" s="251"/>
      <c r="E51" s="225">
        <f t="shared" si="20"/>
        <v>80.48034432</v>
      </c>
      <c r="F51" s="215"/>
      <c r="G51" s="215"/>
      <c r="H51" s="224">
        <f t="shared" si="10"/>
        <v>19.2224</v>
      </c>
      <c r="I51" s="218"/>
      <c r="J51" s="218"/>
      <c r="K51" s="224">
        <f>fprop("Vapor","Dry Air",C51,C36,pressconv(Q11,upsg(T11),"kg/cm2.g")-1.033227,"kg/cm2.g","",0,0,3)</f>
        <v>19.2536</v>
      </c>
      <c r="L51" s="218"/>
      <c r="M51" s="242"/>
      <c r="N51" s="221">
        <f t="shared" si="17"/>
        <v>0.16231063758947029</v>
      </c>
      <c r="O51" s="222"/>
      <c r="P51" s="225">
        <f t="shared" si="21"/>
        <v>1527.4192018919011</v>
      </c>
      <c r="Q51" s="215"/>
      <c r="R51" s="226"/>
      <c r="S51" s="224">
        <f t="shared" si="11"/>
        <v>364.81780880192537</v>
      </c>
      <c r="T51" s="218"/>
      <c r="U51" s="243"/>
      <c r="V51" s="218">
        <f t="shared" si="12"/>
        <v>38.08707295088007</v>
      </c>
      <c r="W51" s="218"/>
      <c r="X51" s="218"/>
      <c r="Y51" s="224">
        <f t="shared" si="13"/>
        <v>39.02992823475103</v>
      </c>
      <c r="Z51" s="218"/>
      <c r="AA51" s="218"/>
      <c r="AB51" s="231">
        <f t="shared" si="18"/>
        <v>2.4755257120623013</v>
      </c>
      <c r="AC51" s="232"/>
      <c r="AD51" s="38"/>
      <c r="AE51" s="34"/>
      <c r="AF51" s="34"/>
      <c r="AG51" s="34"/>
      <c r="AH51" s="34"/>
      <c r="AK51" s="218">
        <f>gmprop(C51,C36,pressconv(Q11,upsg(T11),"kg/cm2.g")-1.033227,"kg/cm2.g",AN16,AP16,AR16,AT16,AV16,"","","","","",AN30,AP30,AR30,AT30,AV30,0,0,0,0,0,AU15,3)</f>
        <v>25.229968255486554</v>
      </c>
      <c r="AL51" s="218"/>
      <c r="AM51" s="218"/>
      <c r="AO51" s="224">
        <f>maprop(C51,C36,100,pressconv(Q11,upsg(T11),"kg/cm2.g")-1.033227,"kg/cm2.g",1)</f>
        <v>1.8804120399899604</v>
      </c>
      <c r="AP51" s="218"/>
      <c r="AQ51" s="310">
        <f t="shared" si="14"/>
        <v>0.005767841916415328</v>
      </c>
      <c r="AR51" s="311"/>
      <c r="AS51" s="321">
        <f>maprop(C51,C36,0,pressconv(Q11,upsg(T11),"kg/cm2.g")-1.033227,"kg/cm2.g",3)</f>
        <v>19.224</v>
      </c>
      <c r="AT51" s="322"/>
      <c r="AU51" s="223">
        <f t="shared" si="15"/>
        <v>0.008323622440475908</v>
      </c>
      <c r="AV51" s="223"/>
      <c r="AW51" s="269">
        <f>maprop(C51,C36,100,pressconv(Q11,upsg(T11),"kg/cm2.g")-1.033227,"kg/cm2.g",3)</f>
        <v>364.8611339018285</v>
      </c>
      <c r="AX51" s="333"/>
      <c r="AY51" s="223">
        <f t="shared" si="16"/>
        <v>0.01187581824622086</v>
      </c>
      <c r="AZ51" s="330"/>
    </row>
    <row r="52" spans="1:52" ht="9.75" customHeight="1">
      <c r="A52" s="1"/>
      <c r="B52" s="1"/>
      <c r="C52" s="252">
        <f>C31</f>
        <v>90</v>
      </c>
      <c r="D52" s="252"/>
      <c r="E52" s="253">
        <f>H52*4.1868</f>
        <v>90.54038736</v>
      </c>
      <c r="F52" s="219"/>
      <c r="G52" s="219"/>
      <c r="H52" s="233">
        <f t="shared" si="10"/>
        <v>21.6252</v>
      </c>
      <c r="I52" s="234"/>
      <c r="J52" s="249"/>
      <c r="K52" s="233">
        <f>fprop("Vapor","Dry Air",C52,C36,pressconv(Q11,upsg(T11),"kg/cm2.g")-1.033227,"kg/cm2.g","",0,0,3)</f>
        <v>21.66294375</v>
      </c>
      <c r="L52" s="234"/>
      <c r="M52" s="249"/>
      <c r="N52" s="227">
        <f t="shared" si="17"/>
        <v>0.17453595804894584</v>
      </c>
      <c r="O52" s="228"/>
      <c r="P52" s="253">
        <f>S52*4.1868</f>
        <v>3823.3909783706417</v>
      </c>
      <c r="Q52" s="219"/>
      <c r="R52" s="254"/>
      <c r="S52" s="233">
        <f t="shared" si="11"/>
        <v>913.2012463864149</v>
      </c>
      <c r="T52" s="234"/>
      <c r="U52" s="250"/>
      <c r="V52" s="234">
        <f t="shared" si="12"/>
        <v>76.0051738373826</v>
      </c>
      <c r="W52" s="234"/>
      <c r="X52" s="234"/>
      <c r="Y52" s="233">
        <f t="shared" si="13"/>
        <v>78.97662145420973</v>
      </c>
      <c r="Z52" s="234"/>
      <c r="AA52" s="234"/>
      <c r="AB52" s="229">
        <f t="shared" si="18"/>
        <v>3.9095333472754317</v>
      </c>
      <c r="AC52" s="230"/>
      <c r="AD52" s="39"/>
      <c r="AE52" s="35"/>
      <c r="AF52" s="35"/>
      <c r="AG52" s="35"/>
      <c r="AH52" s="35"/>
      <c r="AK52" s="234">
        <f>gmprop(C52,C36,pressconv(Q11,upsg(T11),"kg/cm2.g")-1.033227,"kg/cm2.g",AN16,AP16,AR16,AT16,AV16,"","","","","",AN31,AP31,AR31,AT31,AV31,0,0,0,0,0,AU15,3)</f>
        <v>32.88614128777638</v>
      </c>
      <c r="AL52" s="234"/>
      <c r="AM52" s="234"/>
      <c r="AO52" s="233">
        <f>maprop(C52,C36,100,pressconv(Q11,upsg(T11),"kg/cm2.g")-1.033227,"kg/cm2.g",1)</f>
        <v>3.347310764441509</v>
      </c>
      <c r="AP52" s="234"/>
      <c r="AQ52" s="316">
        <f t="shared" si="14"/>
        <v>0.0075431697109662466</v>
      </c>
      <c r="AR52" s="317"/>
      <c r="AS52" s="323">
        <f>maprop(C52,C36,0,pressconv(Q11,upsg(T11),"kg/cm2.g")-1.033227,"kg/cm2.g",3)</f>
        <v>21.627000000000002</v>
      </c>
      <c r="AT52" s="324"/>
      <c r="AU52" s="327">
        <f t="shared" si="15"/>
        <v>0.008323622440498113</v>
      </c>
      <c r="AV52" s="327"/>
      <c r="AW52" s="271">
        <f>maprop(C52,C36,100,pressconv(Q11,upsg(T11),"kg/cm2.g")-1.033227,"kg/cm2.g",3)</f>
        <v>913.2976225357327</v>
      </c>
      <c r="AX52" s="331"/>
      <c r="AY52" s="327">
        <f t="shared" si="16"/>
        <v>0.010553659415069028</v>
      </c>
      <c r="AZ52" s="332"/>
    </row>
    <row r="53" spans="1:29" ht="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3"/>
      <c r="W53" s="3"/>
      <c r="X53" s="3"/>
      <c r="Y53" s="3"/>
      <c r="Z53" s="3"/>
      <c r="AA53" s="3"/>
      <c r="AB53" s="3"/>
      <c r="AC53" s="3"/>
    </row>
    <row r="54" spans="1:29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AC54" s="3"/>
    </row>
    <row r="55" spans="1:37" ht="9.75" customHeight="1">
      <c r="A55" s="6"/>
      <c r="B55" s="6"/>
      <c r="C55" s="21" t="s">
        <v>241</v>
      </c>
      <c r="D55" s="6"/>
      <c r="E55" s="6" t="s">
        <v>221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3"/>
      <c r="W55" s="3"/>
      <c r="X55" s="3"/>
      <c r="Y55" s="3"/>
      <c r="Z55" s="3"/>
      <c r="AA55" s="3"/>
      <c r="AB55" s="3"/>
      <c r="AK55" s="105" t="str">
        <f>w_name</f>
        <v>Humidity Ratio</v>
      </c>
    </row>
    <row r="56" spans="1:37" ht="9.75" customHeight="1">
      <c r="A56" s="6"/>
      <c r="B56" s="6"/>
      <c r="C56" s="21" t="str">
        <f>T16</f>
        <v>Ws</v>
      </c>
      <c r="D56" s="6"/>
      <c r="E56" s="6" t="str">
        <f>AK55&amp;" at Saturation"</f>
        <v>Humidity Ratio at Saturation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3"/>
      <c r="W56" s="3"/>
      <c r="X56" s="3"/>
      <c r="Y56" s="3"/>
      <c r="Z56" s="3"/>
      <c r="AA56" s="3"/>
      <c r="AB56" s="3"/>
      <c r="AK56" s="31" t="str">
        <f>w_symbol</f>
        <v>W</v>
      </c>
    </row>
    <row r="57" spans="1:28" ht="9.75" customHeight="1">
      <c r="A57" s="6"/>
      <c r="B57" s="6"/>
      <c r="C57" s="21" t="s">
        <v>222</v>
      </c>
      <c r="D57" s="6"/>
      <c r="E57" s="6" t="s">
        <v>226</v>
      </c>
      <c r="F57" s="6"/>
      <c r="G57" s="6"/>
      <c r="H57" s="6"/>
      <c r="I57" s="6"/>
      <c r="J57" s="6"/>
      <c r="K57" s="6"/>
      <c r="L57" s="6"/>
      <c r="M57" s="6"/>
      <c r="N57" s="6"/>
      <c r="O57" s="6" t="s">
        <v>228</v>
      </c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</row>
    <row r="58" spans="1:29" ht="9.75" customHeight="1">
      <c r="A58" s="1"/>
      <c r="B58" s="1"/>
      <c r="C58" s="8" t="s">
        <v>223</v>
      </c>
      <c r="D58" s="1"/>
      <c r="E58" s="6" t="s">
        <v>227</v>
      </c>
      <c r="F58" s="1"/>
      <c r="G58" s="1"/>
      <c r="H58" s="1"/>
      <c r="I58" s="1"/>
      <c r="J58" s="1"/>
      <c r="K58" s="1"/>
      <c r="L58" s="1"/>
      <c r="M58" s="1"/>
      <c r="N58" s="1"/>
      <c r="O58" s="1" t="s">
        <v>293</v>
      </c>
      <c r="P58" s="1"/>
      <c r="Q58" s="1"/>
      <c r="R58" s="1"/>
      <c r="S58" s="1"/>
      <c r="T58" s="1"/>
      <c r="U58" s="1"/>
      <c r="AC58" s="3"/>
    </row>
    <row r="59" spans="1:28" ht="9.75" customHeight="1">
      <c r="A59" s="6"/>
      <c r="B59" s="6"/>
      <c r="C59" s="21" t="s">
        <v>224</v>
      </c>
      <c r="D59" s="6"/>
      <c r="E59" s="6" t="s">
        <v>229</v>
      </c>
      <c r="F59" s="6"/>
      <c r="G59" s="6"/>
      <c r="H59" s="6"/>
      <c r="I59" s="6"/>
      <c r="J59" s="6"/>
      <c r="K59" s="6"/>
      <c r="L59" s="6"/>
      <c r="M59" s="6"/>
      <c r="N59" s="6"/>
      <c r="O59" s="6" t="s">
        <v>231</v>
      </c>
      <c r="P59" s="6"/>
      <c r="Q59" s="6"/>
      <c r="R59" s="6"/>
      <c r="S59" s="6"/>
      <c r="T59" s="6"/>
      <c r="U59" s="6"/>
      <c r="V59" s="3"/>
      <c r="W59" s="3"/>
      <c r="X59" s="3"/>
      <c r="Y59" s="3"/>
      <c r="Z59" s="3"/>
      <c r="AA59" s="3"/>
      <c r="AB59" s="3"/>
    </row>
    <row r="60" spans="1:28" ht="9.75" customHeight="1">
      <c r="A60" s="6"/>
      <c r="B60" s="6"/>
      <c r="C60" s="21" t="s">
        <v>225</v>
      </c>
      <c r="D60" s="6"/>
      <c r="E60" s="6" t="s">
        <v>230</v>
      </c>
      <c r="F60" s="1"/>
      <c r="G60" s="1"/>
      <c r="H60" s="1"/>
      <c r="I60" s="1"/>
      <c r="J60" s="1"/>
      <c r="K60" s="1"/>
      <c r="L60" s="1"/>
      <c r="M60" s="1"/>
      <c r="N60" s="1"/>
      <c r="O60" s="1" t="s">
        <v>296</v>
      </c>
      <c r="P60" s="6"/>
      <c r="Q60" s="6"/>
      <c r="R60" s="6"/>
      <c r="S60" s="6"/>
      <c r="T60" s="6"/>
      <c r="U60" s="6"/>
      <c r="V60" s="3"/>
      <c r="W60" s="3"/>
      <c r="X60" s="3"/>
      <c r="Y60" s="3"/>
      <c r="Z60" s="3"/>
      <c r="AA60" s="3"/>
      <c r="AB60" s="3"/>
    </row>
    <row r="61" spans="1:29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AC61" s="3"/>
    </row>
    <row r="62" spans="1:29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3"/>
      <c r="W62" s="3"/>
      <c r="X62" s="3"/>
      <c r="Y62" s="3"/>
      <c r="Z62" s="3"/>
      <c r="AA62" s="3"/>
      <c r="AB62" s="3"/>
      <c r="AC62" s="3"/>
    </row>
    <row r="63" spans="1:29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3"/>
      <c r="W63" s="3"/>
      <c r="X63" s="3"/>
      <c r="Y63" s="3"/>
      <c r="Z63" s="3"/>
      <c r="AA63" s="3"/>
      <c r="AB63" s="3"/>
      <c r="AC63" s="3"/>
    </row>
    <row r="64" spans="1:29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AC64" s="3"/>
    </row>
    <row r="65" spans="1:29" ht="9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3"/>
      <c r="W65" s="3"/>
      <c r="X65" s="3"/>
      <c r="Y65" s="3"/>
      <c r="Z65" s="3"/>
      <c r="AA65" s="3"/>
      <c r="AB65" s="3"/>
      <c r="AC65" s="3"/>
    </row>
    <row r="66" spans="1:29" ht="9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3"/>
      <c r="W66" s="3"/>
      <c r="X66" s="3"/>
      <c r="Y66" s="3"/>
      <c r="Z66" s="3"/>
      <c r="AA66" s="3"/>
      <c r="AB66" s="3"/>
      <c r="AC66" s="3"/>
    </row>
    <row r="67" spans="1:29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AC67" s="3"/>
    </row>
    <row r="68" spans="1:29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C68" s="3"/>
    </row>
    <row r="69" spans="1:29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3"/>
      <c r="W69" s="3"/>
      <c r="X69" s="3"/>
      <c r="Y69" s="3"/>
      <c r="Z69" s="3"/>
      <c r="AA69" s="3"/>
      <c r="AB69" s="3"/>
      <c r="AC69" s="3"/>
    </row>
    <row r="70" spans="1:29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  <c r="AC70" s="3"/>
    </row>
    <row r="71" spans="1:29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"/>
      <c r="W71" s="3"/>
      <c r="X71" s="3"/>
      <c r="Y71" s="3"/>
      <c r="Z71" s="3"/>
      <c r="AA71" s="3"/>
      <c r="AB71" s="3"/>
      <c r="AC71" s="3"/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9" t="str">
        <f>cosymbol</f>
        <v> NTES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 t="str">
        <f>coname</f>
        <v>Narai Thermal engineering Services </v>
      </c>
    </row>
    <row r="117" ht="13.5" customHeight="1"/>
    <row r="118" ht="13.5" customHeight="1"/>
  </sheetData>
  <mergeCells count="596">
    <mergeCell ref="AO36:AZ36"/>
    <mergeCell ref="AO35:AZ35"/>
    <mergeCell ref="AW51:AX51"/>
    <mergeCell ref="AY51:AZ51"/>
    <mergeCell ref="AW47:AX47"/>
    <mergeCell ref="AY47:AZ47"/>
    <mergeCell ref="AW48:AX48"/>
    <mergeCell ref="AY48:AZ48"/>
    <mergeCell ref="AW45:AX45"/>
    <mergeCell ref="AY45:AZ45"/>
    <mergeCell ref="AW52:AX52"/>
    <mergeCell ref="AY52:AZ52"/>
    <mergeCell ref="AW49:AX49"/>
    <mergeCell ref="AY49:AZ49"/>
    <mergeCell ref="AW50:AX50"/>
    <mergeCell ref="AY50:AZ50"/>
    <mergeCell ref="AY41:AZ41"/>
    <mergeCell ref="AW42:AX42"/>
    <mergeCell ref="AY42:AZ42"/>
    <mergeCell ref="AW46:AX46"/>
    <mergeCell ref="AY46:AZ46"/>
    <mergeCell ref="AW43:AX43"/>
    <mergeCell ref="AY43:AZ43"/>
    <mergeCell ref="AW44:AX44"/>
    <mergeCell ref="AY44:AZ44"/>
    <mergeCell ref="AU52:AV52"/>
    <mergeCell ref="AW37:AX37"/>
    <mergeCell ref="AY37:AZ37"/>
    <mergeCell ref="AW38:AX38"/>
    <mergeCell ref="AY38:AZ38"/>
    <mergeCell ref="AW39:AX39"/>
    <mergeCell ref="AY39:AZ39"/>
    <mergeCell ref="AW40:AX40"/>
    <mergeCell ref="AY40:AZ40"/>
    <mergeCell ref="AW41:AX41"/>
    <mergeCell ref="AU49:AV49"/>
    <mergeCell ref="AS50:AT50"/>
    <mergeCell ref="AU50:AV50"/>
    <mergeCell ref="AS51:AT51"/>
    <mergeCell ref="AU51:AV51"/>
    <mergeCell ref="AU46:AV46"/>
    <mergeCell ref="AS47:AT47"/>
    <mergeCell ref="AU47:AV47"/>
    <mergeCell ref="AS48:AT48"/>
    <mergeCell ref="AU48:AV48"/>
    <mergeCell ref="AU43:AV43"/>
    <mergeCell ref="AS44:AT44"/>
    <mergeCell ref="AU44:AV44"/>
    <mergeCell ref="AS45:AT45"/>
    <mergeCell ref="AU45:AV45"/>
    <mergeCell ref="AU40:AV40"/>
    <mergeCell ref="AS41:AT41"/>
    <mergeCell ref="AU41:AV41"/>
    <mergeCell ref="AS42:AT42"/>
    <mergeCell ref="AU42:AV42"/>
    <mergeCell ref="AU37:AV37"/>
    <mergeCell ref="AS38:AT38"/>
    <mergeCell ref="AU38:AV38"/>
    <mergeCell ref="AS39:AT39"/>
    <mergeCell ref="AU39:AV39"/>
    <mergeCell ref="AQ50:AR50"/>
    <mergeCell ref="AQ51:AR51"/>
    <mergeCell ref="AQ52:AR52"/>
    <mergeCell ref="AS37:AT37"/>
    <mergeCell ref="AS40:AT40"/>
    <mergeCell ref="AS43:AT43"/>
    <mergeCell ref="AS46:AT46"/>
    <mergeCell ref="AS49:AT49"/>
    <mergeCell ref="AS52:AT52"/>
    <mergeCell ref="AQ44:AR44"/>
    <mergeCell ref="AO50:AP50"/>
    <mergeCell ref="AO51:AP51"/>
    <mergeCell ref="AO52:AP52"/>
    <mergeCell ref="AQ37:AR37"/>
    <mergeCell ref="AQ38:AR38"/>
    <mergeCell ref="AQ39:AR39"/>
    <mergeCell ref="AQ40:AR40"/>
    <mergeCell ref="AQ41:AR41"/>
    <mergeCell ref="AQ42:AR42"/>
    <mergeCell ref="AQ43:AR43"/>
    <mergeCell ref="AO37:AP37"/>
    <mergeCell ref="AO38:AP38"/>
    <mergeCell ref="AO39:AP39"/>
    <mergeCell ref="AO40:AP40"/>
    <mergeCell ref="AO41:AP41"/>
    <mergeCell ref="AO42:AP42"/>
    <mergeCell ref="AO46:AP46"/>
    <mergeCell ref="AO47:AP47"/>
    <mergeCell ref="AO43:AP43"/>
    <mergeCell ref="AO44:AP44"/>
    <mergeCell ref="AO45:AP45"/>
    <mergeCell ref="AO48:AP48"/>
    <mergeCell ref="AO49:AP49"/>
    <mergeCell ref="AQ46:AR46"/>
    <mergeCell ref="AQ47:AR47"/>
    <mergeCell ref="AQ48:AR48"/>
    <mergeCell ref="AQ49:AR49"/>
    <mergeCell ref="AQ45:AR45"/>
    <mergeCell ref="E49:G49"/>
    <mergeCell ref="E50:G50"/>
    <mergeCell ref="S44:U44"/>
    <mergeCell ref="V45:X45"/>
    <mergeCell ref="H46:J46"/>
    <mergeCell ref="K46:M46"/>
    <mergeCell ref="S46:U46"/>
    <mergeCell ref="V46:X46"/>
    <mergeCell ref="P46:R46"/>
    <mergeCell ref="E51:G51"/>
    <mergeCell ref="P40:R40"/>
    <mergeCell ref="P41:R41"/>
    <mergeCell ref="P42:R42"/>
    <mergeCell ref="P43:R43"/>
    <mergeCell ref="H42:J42"/>
    <mergeCell ref="H44:J44"/>
    <mergeCell ref="K44:M44"/>
    <mergeCell ref="N44:O44"/>
    <mergeCell ref="N45:O45"/>
    <mergeCell ref="E38:G38"/>
    <mergeCell ref="E39:G39"/>
    <mergeCell ref="E52:G52"/>
    <mergeCell ref="P38:R38"/>
    <mergeCell ref="E40:G40"/>
    <mergeCell ref="E41:G41"/>
    <mergeCell ref="E42:G42"/>
    <mergeCell ref="E43:G43"/>
    <mergeCell ref="E44:G44"/>
    <mergeCell ref="E45:G45"/>
    <mergeCell ref="C13:D14"/>
    <mergeCell ref="C34:D35"/>
    <mergeCell ref="E34:AC34"/>
    <mergeCell ref="E35:J35"/>
    <mergeCell ref="P35:U35"/>
    <mergeCell ref="W30:Y30"/>
    <mergeCell ref="Z31:AB31"/>
    <mergeCell ref="E13:M13"/>
    <mergeCell ref="E14:J14"/>
    <mergeCell ref="N13:S13"/>
    <mergeCell ref="H15:M15"/>
    <mergeCell ref="Z21:AB21"/>
    <mergeCell ref="W21:Y21"/>
    <mergeCell ref="N17:P17"/>
    <mergeCell ref="N18:P18"/>
    <mergeCell ref="N19:P19"/>
    <mergeCell ref="N20:P20"/>
    <mergeCell ref="H21:J21"/>
    <mergeCell ref="T20:V20"/>
    <mergeCell ref="T21:V21"/>
    <mergeCell ref="Z30:AB30"/>
    <mergeCell ref="Z27:AB27"/>
    <mergeCell ref="W14:Y14"/>
    <mergeCell ref="Z14:AB14"/>
    <mergeCell ref="Z22:AB22"/>
    <mergeCell ref="Z23:AB23"/>
    <mergeCell ref="Z24:AB24"/>
    <mergeCell ref="Z25:AB25"/>
    <mergeCell ref="Z26:AB26"/>
    <mergeCell ref="W27:Y27"/>
    <mergeCell ref="W28:Y28"/>
    <mergeCell ref="W29:Y29"/>
    <mergeCell ref="Z28:AB28"/>
    <mergeCell ref="Z29:AB29"/>
    <mergeCell ref="Z18:AB18"/>
    <mergeCell ref="Z19:AB19"/>
    <mergeCell ref="AC18:AE18"/>
    <mergeCell ref="AC19:AE19"/>
    <mergeCell ref="AK16:AM16"/>
    <mergeCell ref="W15:AH15"/>
    <mergeCell ref="W13:AH13"/>
    <mergeCell ref="AC14:AE14"/>
    <mergeCell ref="AF14:AH14"/>
    <mergeCell ref="W22:Y22"/>
    <mergeCell ref="T31:V31"/>
    <mergeCell ref="W23:Y23"/>
    <mergeCell ref="W24:Y24"/>
    <mergeCell ref="W25:Y25"/>
    <mergeCell ref="W26:Y26"/>
    <mergeCell ref="T27:V27"/>
    <mergeCell ref="T28:V28"/>
    <mergeCell ref="W31:Y31"/>
    <mergeCell ref="T29:V29"/>
    <mergeCell ref="T22:V22"/>
    <mergeCell ref="T30:V30"/>
    <mergeCell ref="T23:V23"/>
    <mergeCell ref="T24:V24"/>
    <mergeCell ref="T25:V25"/>
    <mergeCell ref="T26:V26"/>
    <mergeCell ref="T13:V13"/>
    <mergeCell ref="T14:V14"/>
    <mergeCell ref="T17:V17"/>
    <mergeCell ref="T18:V18"/>
    <mergeCell ref="T15:V15"/>
    <mergeCell ref="Q28:S28"/>
    <mergeCell ref="Q29:S29"/>
    <mergeCell ref="Q30:S30"/>
    <mergeCell ref="Q31:S31"/>
    <mergeCell ref="Q24:S24"/>
    <mergeCell ref="Q25:S25"/>
    <mergeCell ref="Q26:S26"/>
    <mergeCell ref="Q27:S27"/>
    <mergeCell ref="N31:P31"/>
    <mergeCell ref="Q14:S14"/>
    <mergeCell ref="Q17:S17"/>
    <mergeCell ref="Q18:S18"/>
    <mergeCell ref="Q19:S19"/>
    <mergeCell ref="Q20:S20"/>
    <mergeCell ref="Q21:S21"/>
    <mergeCell ref="N25:P25"/>
    <mergeCell ref="Q22:S22"/>
    <mergeCell ref="Q23:S23"/>
    <mergeCell ref="N26:P26"/>
    <mergeCell ref="N27:P27"/>
    <mergeCell ref="N28:P28"/>
    <mergeCell ref="N21:P21"/>
    <mergeCell ref="N22:P22"/>
    <mergeCell ref="N23:P23"/>
    <mergeCell ref="N24:P24"/>
    <mergeCell ref="K28:M28"/>
    <mergeCell ref="K29:M29"/>
    <mergeCell ref="K30:M30"/>
    <mergeCell ref="K31:M31"/>
    <mergeCell ref="K24:M24"/>
    <mergeCell ref="K25:M25"/>
    <mergeCell ref="K26:M26"/>
    <mergeCell ref="K27:M27"/>
    <mergeCell ref="H29:J29"/>
    <mergeCell ref="H30:J30"/>
    <mergeCell ref="H31:J31"/>
    <mergeCell ref="K17:M17"/>
    <mergeCell ref="K18:M18"/>
    <mergeCell ref="K19:M19"/>
    <mergeCell ref="K20:M20"/>
    <mergeCell ref="K21:M21"/>
    <mergeCell ref="K22:M22"/>
    <mergeCell ref="K23:M23"/>
    <mergeCell ref="H25:J25"/>
    <mergeCell ref="H26:J26"/>
    <mergeCell ref="H27:J27"/>
    <mergeCell ref="H28:J28"/>
    <mergeCell ref="H22:J22"/>
    <mergeCell ref="H23:J23"/>
    <mergeCell ref="H24:J24"/>
    <mergeCell ref="H17:J17"/>
    <mergeCell ref="H18:J18"/>
    <mergeCell ref="H19:J19"/>
    <mergeCell ref="H20:J20"/>
    <mergeCell ref="E28:G28"/>
    <mergeCell ref="E29:G29"/>
    <mergeCell ref="E30:G30"/>
    <mergeCell ref="E31:G31"/>
    <mergeCell ref="E24:G24"/>
    <mergeCell ref="E25:G25"/>
    <mergeCell ref="E26:G26"/>
    <mergeCell ref="E27:G27"/>
    <mergeCell ref="E20:G20"/>
    <mergeCell ref="E21:G21"/>
    <mergeCell ref="E22:G22"/>
    <mergeCell ref="E23:G23"/>
    <mergeCell ref="C29:D29"/>
    <mergeCell ref="C30:D30"/>
    <mergeCell ref="C31:D31"/>
    <mergeCell ref="E15:G15"/>
    <mergeCell ref="E16:G16"/>
    <mergeCell ref="E17:G17"/>
    <mergeCell ref="E18:G18"/>
    <mergeCell ref="E19:G19"/>
    <mergeCell ref="C25:D25"/>
    <mergeCell ref="C26:D26"/>
    <mergeCell ref="C28:D28"/>
    <mergeCell ref="C21:D21"/>
    <mergeCell ref="C22:D22"/>
    <mergeCell ref="C23:D23"/>
    <mergeCell ref="C24:D24"/>
    <mergeCell ref="C18:D18"/>
    <mergeCell ref="C19:D19"/>
    <mergeCell ref="C20:D20"/>
    <mergeCell ref="C27:D27"/>
    <mergeCell ref="Q11:S11"/>
    <mergeCell ref="C15:D15"/>
    <mergeCell ref="C16:D16"/>
    <mergeCell ref="N16:P16"/>
    <mergeCell ref="N14:P14"/>
    <mergeCell ref="N15:P15"/>
    <mergeCell ref="Q15:S15"/>
    <mergeCell ref="K16:M16"/>
    <mergeCell ref="Q16:S16"/>
    <mergeCell ref="K14:M14"/>
    <mergeCell ref="AC1:AH1"/>
    <mergeCell ref="A2:X4"/>
    <mergeCell ref="AC2:AH2"/>
    <mergeCell ref="AE4:AF4"/>
    <mergeCell ref="AC20:AE20"/>
    <mergeCell ref="T16:V16"/>
    <mergeCell ref="W17:Y17"/>
    <mergeCell ref="W20:Y20"/>
    <mergeCell ref="AC17:AE17"/>
    <mergeCell ref="Z20:AB20"/>
    <mergeCell ref="T19:V19"/>
    <mergeCell ref="W18:Y18"/>
    <mergeCell ref="W19:Y19"/>
    <mergeCell ref="Z17:AB17"/>
    <mergeCell ref="AN20:AO20"/>
    <mergeCell ref="AN21:AO21"/>
    <mergeCell ref="AN22:AO22"/>
    <mergeCell ref="AC25:AE25"/>
    <mergeCell ref="AF23:AH23"/>
    <mergeCell ref="AC21:AE21"/>
    <mergeCell ref="AC22:AE22"/>
    <mergeCell ref="AC23:AE23"/>
    <mergeCell ref="AC24:AE24"/>
    <mergeCell ref="AF21:AH21"/>
    <mergeCell ref="AN16:AO16"/>
    <mergeCell ref="AN17:AO17"/>
    <mergeCell ref="AN18:AO18"/>
    <mergeCell ref="AN19:AO19"/>
    <mergeCell ref="AP16:AQ16"/>
    <mergeCell ref="AR16:AS16"/>
    <mergeCell ref="AT16:AU16"/>
    <mergeCell ref="AV16:AW16"/>
    <mergeCell ref="AP17:AQ17"/>
    <mergeCell ref="AR17:AS17"/>
    <mergeCell ref="AT17:AU17"/>
    <mergeCell ref="AV17:AW17"/>
    <mergeCell ref="AP18:AQ18"/>
    <mergeCell ref="AR18:AS18"/>
    <mergeCell ref="AT18:AU18"/>
    <mergeCell ref="AV18:AW18"/>
    <mergeCell ref="AP19:AQ19"/>
    <mergeCell ref="AR19:AS19"/>
    <mergeCell ref="AT19:AU19"/>
    <mergeCell ref="AV19:AW19"/>
    <mergeCell ref="AP20:AQ20"/>
    <mergeCell ref="AR20:AS20"/>
    <mergeCell ref="AT20:AU20"/>
    <mergeCell ref="AV20:AW20"/>
    <mergeCell ref="AP21:AQ21"/>
    <mergeCell ref="AR21:AS21"/>
    <mergeCell ref="AT21:AU21"/>
    <mergeCell ref="AV21:AW21"/>
    <mergeCell ref="AP22:AQ22"/>
    <mergeCell ref="AR22:AS22"/>
    <mergeCell ref="AT22:AU22"/>
    <mergeCell ref="AV22:AW22"/>
    <mergeCell ref="AV23:AW23"/>
    <mergeCell ref="AN24:AO24"/>
    <mergeCell ref="AP24:AQ24"/>
    <mergeCell ref="AR24:AS24"/>
    <mergeCell ref="AT24:AU24"/>
    <mergeCell ref="AV24:AW24"/>
    <mergeCell ref="AN23:AO23"/>
    <mergeCell ref="AP23:AQ23"/>
    <mergeCell ref="AR23:AS23"/>
    <mergeCell ref="AT23:AU23"/>
    <mergeCell ref="AV25:AW25"/>
    <mergeCell ref="AN26:AO26"/>
    <mergeCell ref="AP26:AQ26"/>
    <mergeCell ref="AR26:AS26"/>
    <mergeCell ref="AT26:AU26"/>
    <mergeCell ref="AV26:AW26"/>
    <mergeCell ref="AN25:AO25"/>
    <mergeCell ref="AP25:AQ25"/>
    <mergeCell ref="AR25:AS25"/>
    <mergeCell ref="AT25:AU25"/>
    <mergeCell ref="AV27:AW27"/>
    <mergeCell ref="AN28:AO28"/>
    <mergeCell ref="AP28:AQ28"/>
    <mergeCell ref="AR28:AS28"/>
    <mergeCell ref="AT28:AU28"/>
    <mergeCell ref="AV28:AW28"/>
    <mergeCell ref="AN27:AO27"/>
    <mergeCell ref="AP27:AQ27"/>
    <mergeCell ref="AR27:AS27"/>
    <mergeCell ref="AT27:AU27"/>
    <mergeCell ref="AV29:AW29"/>
    <mergeCell ref="AN30:AO30"/>
    <mergeCell ref="AP30:AQ30"/>
    <mergeCell ref="AR30:AS30"/>
    <mergeCell ref="AT30:AU30"/>
    <mergeCell ref="AV30:AW30"/>
    <mergeCell ref="AN29:AO29"/>
    <mergeCell ref="AP29:AQ29"/>
    <mergeCell ref="AR29:AS29"/>
    <mergeCell ref="AT29:AU29"/>
    <mergeCell ref="AN31:AO31"/>
    <mergeCell ref="AP31:AQ31"/>
    <mergeCell ref="AR31:AS31"/>
    <mergeCell ref="AT31:AU31"/>
    <mergeCell ref="AV31:AW31"/>
    <mergeCell ref="AX16:AY16"/>
    <mergeCell ref="AX17:AY17"/>
    <mergeCell ref="AX18:AY18"/>
    <mergeCell ref="AX19:AY19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X29:AY29"/>
    <mergeCell ref="AX30:AY30"/>
    <mergeCell ref="AX31:AY31"/>
    <mergeCell ref="AK18:AM18"/>
    <mergeCell ref="AK19:AM19"/>
    <mergeCell ref="AK20:AM20"/>
    <mergeCell ref="AK21:AM21"/>
    <mergeCell ref="AK22:AM22"/>
    <mergeCell ref="AK23:AM23"/>
    <mergeCell ref="AK24:AM24"/>
    <mergeCell ref="AF22:AH22"/>
    <mergeCell ref="AK25:AM25"/>
    <mergeCell ref="AK26:AM26"/>
    <mergeCell ref="AF17:AH17"/>
    <mergeCell ref="AF18:AH18"/>
    <mergeCell ref="AF19:AH19"/>
    <mergeCell ref="AF20:AH20"/>
    <mergeCell ref="AK17:AM17"/>
    <mergeCell ref="AK27:AM27"/>
    <mergeCell ref="AK28:AM28"/>
    <mergeCell ref="AK30:AM30"/>
    <mergeCell ref="P37:U37"/>
    <mergeCell ref="AK37:AM37"/>
    <mergeCell ref="AK31:AM31"/>
    <mergeCell ref="AK29:AM29"/>
    <mergeCell ref="AC28:AE28"/>
    <mergeCell ref="N29:P29"/>
    <mergeCell ref="N30:P30"/>
    <mergeCell ref="E36:G36"/>
    <mergeCell ref="AF24:AH24"/>
    <mergeCell ref="AF25:AH25"/>
    <mergeCell ref="AF26:AH26"/>
    <mergeCell ref="AC29:AE29"/>
    <mergeCell ref="AC30:AE30"/>
    <mergeCell ref="AC31:AE31"/>
    <mergeCell ref="AC26:AE26"/>
    <mergeCell ref="AC27:AE27"/>
    <mergeCell ref="K35:M35"/>
    <mergeCell ref="K38:M38"/>
    <mergeCell ref="Y38:AA38"/>
    <mergeCell ref="V37:AA37"/>
    <mergeCell ref="C43:D43"/>
    <mergeCell ref="C38:D38"/>
    <mergeCell ref="C39:D39"/>
    <mergeCell ref="C40:D40"/>
    <mergeCell ref="C41:D41"/>
    <mergeCell ref="C37:D37"/>
    <mergeCell ref="N37:O37"/>
    <mergeCell ref="H36:M36"/>
    <mergeCell ref="P36:R36"/>
    <mergeCell ref="S36:AA36"/>
    <mergeCell ref="V35:X35"/>
    <mergeCell ref="N35:O35"/>
    <mergeCell ref="H16:J16"/>
    <mergeCell ref="H38:J38"/>
    <mergeCell ref="C46:D46"/>
    <mergeCell ref="C47:D47"/>
    <mergeCell ref="C42:D42"/>
    <mergeCell ref="C44:D44"/>
    <mergeCell ref="C45:D45"/>
    <mergeCell ref="C36:D36"/>
    <mergeCell ref="E37:M37"/>
    <mergeCell ref="C17:D17"/>
    <mergeCell ref="V42:X42"/>
    <mergeCell ref="C50:D50"/>
    <mergeCell ref="C51:D51"/>
    <mergeCell ref="C52:D52"/>
    <mergeCell ref="C48:D48"/>
    <mergeCell ref="C49:D49"/>
    <mergeCell ref="P52:R52"/>
    <mergeCell ref="E46:G46"/>
    <mergeCell ref="E47:G47"/>
    <mergeCell ref="E48:G48"/>
    <mergeCell ref="H52:J52"/>
    <mergeCell ref="H39:J39"/>
    <mergeCell ref="S52:U52"/>
    <mergeCell ref="V52:X52"/>
    <mergeCell ref="K52:M52"/>
    <mergeCell ref="H40:J40"/>
    <mergeCell ref="H41:J41"/>
    <mergeCell ref="K42:M42"/>
    <mergeCell ref="S42:U42"/>
    <mergeCell ref="V41:X41"/>
    <mergeCell ref="AK38:AM38"/>
    <mergeCell ref="W16:AB16"/>
    <mergeCell ref="AC16:AH16"/>
    <mergeCell ref="AF31:AH31"/>
    <mergeCell ref="AF27:AH27"/>
    <mergeCell ref="AF28:AH28"/>
    <mergeCell ref="AF29:AH29"/>
    <mergeCell ref="AF30:AH30"/>
    <mergeCell ref="Y35:AA35"/>
    <mergeCell ref="AB35:AC35"/>
    <mergeCell ref="V43:X43"/>
    <mergeCell ref="AK52:AM52"/>
    <mergeCell ref="K39:M39"/>
    <mergeCell ref="S39:U39"/>
    <mergeCell ref="V39:X39"/>
    <mergeCell ref="K40:M40"/>
    <mergeCell ref="S40:U40"/>
    <mergeCell ref="V40:X40"/>
    <mergeCell ref="K41:M41"/>
    <mergeCell ref="S41:U41"/>
    <mergeCell ref="H43:J43"/>
    <mergeCell ref="K43:M43"/>
    <mergeCell ref="S43:U43"/>
    <mergeCell ref="H45:J45"/>
    <mergeCell ref="K45:M45"/>
    <mergeCell ref="S45:U45"/>
    <mergeCell ref="P45:R45"/>
    <mergeCell ref="N46:O46"/>
    <mergeCell ref="H47:J47"/>
    <mergeCell ref="K47:M47"/>
    <mergeCell ref="S47:U47"/>
    <mergeCell ref="V47:X47"/>
    <mergeCell ref="P47:R47"/>
    <mergeCell ref="N47:O47"/>
    <mergeCell ref="H48:J48"/>
    <mergeCell ref="K48:M48"/>
    <mergeCell ref="S48:U48"/>
    <mergeCell ref="V48:X48"/>
    <mergeCell ref="P48:R48"/>
    <mergeCell ref="N48:O48"/>
    <mergeCell ref="V50:X50"/>
    <mergeCell ref="N50:O50"/>
    <mergeCell ref="P50:R50"/>
    <mergeCell ref="H49:J49"/>
    <mergeCell ref="K49:M49"/>
    <mergeCell ref="S49:U49"/>
    <mergeCell ref="V49:X49"/>
    <mergeCell ref="N49:O49"/>
    <mergeCell ref="P49:R49"/>
    <mergeCell ref="Y50:AA50"/>
    <mergeCell ref="H51:J51"/>
    <mergeCell ref="K51:M51"/>
    <mergeCell ref="S51:U51"/>
    <mergeCell ref="V51:X51"/>
    <mergeCell ref="N51:O51"/>
    <mergeCell ref="P51:R51"/>
    <mergeCell ref="H50:J50"/>
    <mergeCell ref="K50:M50"/>
    <mergeCell ref="S50:U50"/>
    <mergeCell ref="Y40:AA40"/>
    <mergeCell ref="Y41:AA41"/>
    <mergeCell ref="Y42:AA42"/>
    <mergeCell ref="Y43:AA43"/>
    <mergeCell ref="AK39:AM39"/>
    <mergeCell ref="AK51:AM51"/>
    <mergeCell ref="AK40:AM40"/>
    <mergeCell ref="AK41:AM41"/>
    <mergeCell ref="AK42:AM42"/>
    <mergeCell ref="AK43:AM43"/>
    <mergeCell ref="AK44:AM44"/>
    <mergeCell ref="AK45:AM45"/>
    <mergeCell ref="AK46:AM46"/>
    <mergeCell ref="AK47:AM47"/>
    <mergeCell ref="AK48:AM48"/>
    <mergeCell ref="AK49:AM49"/>
    <mergeCell ref="AK50:AM50"/>
    <mergeCell ref="AB37:AC37"/>
    <mergeCell ref="AB41:AC41"/>
    <mergeCell ref="AB42:AC42"/>
    <mergeCell ref="AB43:AC43"/>
    <mergeCell ref="AB44:AC44"/>
    <mergeCell ref="AB45:AC45"/>
    <mergeCell ref="AB46:AC46"/>
    <mergeCell ref="N39:O39"/>
    <mergeCell ref="AB38:AC38"/>
    <mergeCell ref="AB39:AC39"/>
    <mergeCell ref="AB40:AC40"/>
    <mergeCell ref="Y39:AA39"/>
    <mergeCell ref="S38:U38"/>
    <mergeCell ref="N38:O38"/>
    <mergeCell ref="V38:X38"/>
    <mergeCell ref="P39:R39"/>
    <mergeCell ref="N40:O40"/>
    <mergeCell ref="AB48:AC48"/>
    <mergeCell ref="N52:O52"/>
    <mergeCell ref="AB52:AC52"/>
    <mergeCell ref="AB51:AC51"/>
    <mergeCell ref="AB49:AC49"/>
    <mergeCell ref="AB50:AC50"/>
    <mergeCell ref="Y48:AA48"/>
    <mergeCell ref="Y49:AA49"/>
    <mergeCell ref="Y52:AA52"/>
    <mergeCell ref="Y51:AA51"/>
    <mergeCell ref="N41:O41"/>
    <mergeCell ref="N42:O42"/>
    <mergeCell ref="N43:O43"/>
    <mergeCell ref="AB47:AC47"/>
    <mergeCell ref="Y47:AA47"/>
    <mergeCell ref="Y44:AA44"/>
    <mergeCell ref="Y45:AA45"/>
    <mergeCell ref="Y46:AA46"/>
    <mergeCell ref="V44:X44"/>
    <mergeCell ref="P44:R4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H75"/>
  <sheetViews>
    <sheetView view="pageBreakPreview" zoomScaleSheetLayoutView="100" workbookViewId="0" topLeftCell="A1">
      <selection activeCell="AB4" sqref="AB4"/>
    </sheetView>
  </sheetViews>
  <sheetFormatPr defaultColWidth="8.88671875" defaultRowHeight="13.5"/>
  <cols>
    <col min="1" max="63" width="2.3359375" style="2" customWidth="1"/>
    <col min="64" max="16384" width="8.88671875" style="2" customWidth="1"/>
  </cols>
  <sheetData>
    <row r="1" spans="1:34" ht="9.75" customHeight="1">
      <c r="A1" s="33"/>
      <c r="B1" s="95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96" t="s">
        <v>371</v>
      </c>
      <c r="Z1" s="97"/>
      <c r="AA1" s="60"/>
      <c r="AB1" s="97"/>
      <c r="AC1" s="182" t="str">
        <f>docno</f>
        <v>TM - PSY - 100</v>
      </c>
      <c r="AD1" s="145"/>
      <c r="AE1" s="145"/>
      <c r="AF1" s="145"/>
      <c r="AG1" s="145"/>
      <c r="AH1" s="145"/>
    </row>
    <row r="2" spans="1:34" ht="9.75" customHeight="1">
      <c r="A2" s="115" t="str">
        <f>title</f>
        <v>P S Y C H R O M E T R I C S   :     B A S I C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6"/>
      <c r="Y2" s="38" t="s">
        <v>372</v>
      </c>
      <c r="Z2" s="34"/>
      <c r="AA2" s="98"/>
      <c r="AB2" s="34"/>
      <c r="AC2" s="183" t="s">
        <v>376</v>
      </c>
      <c r="AD2" s="119"/>
      <c r="AE2" s="119"/>
      <c r="AF2" s="119"/>
      <c r="AG2" s="119"/>
      <c r="AH2" s="119"/>
    </row>
    <row r="3" spans="1:34" ht="9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  <c r="Y3" s="99" t="s">
        <v>373</v>
      </c>
      <c r="Z3" s="100"/>
      <c r="AA3" s="100"/>
      <c r="AB3" s="100"/>
      <c r="AC3" s="66">
        <v>0</v>
      </c>
      <c r="AD3" s="101"/>
      <c r="AE3" s="101"/>
      <c r="AF3" s="101"/>
      <c r="AG3" s="101"/>
      <c r="AH3" s="70"/>
    </row>
    <row r="4" spans="1:34" ht="9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102" t="s">
        <v>374</v>
      </c>
      <c r="Z4" s="59"/>
      <c r="AA4" s="61"/>
      <c r="AB4" s="59"/>
      <c r="AC4" s="103"/>
      <c r="AD4" s="64">
        <v>0</v>
      </c>
      <c r="AE4" s="184" t="s">
        <v>375</v>
      </c>
      <c r="AF4" s="184"/>
      <c r="AG4" s="78">
        <f>sheetqty</f>
        <v>6</v>
      </c>
      <c r="AH4" s="65"/>
    </row>
    <row r="5" spans="1:34" ht="9.75" customHeight="1">
      <c r="A5" s="6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Z5" s="5"/>
      <c r="AA5" s="5"/>
      <c r="AB5" s="5"/>
      <c r="AC5" s="5"/>
      <c r="AD5" s="5"/>
      <c r="AE5" s="5"/>
      <c r="AF5" s="5"/>
      <c r="AG5" s="5"/>
      <c r="AH5" s="4"/>
    </row>
    <row r="6" spans="1:34" ht="9.75" customHeight="1">
      <c r="A6" s="6"/>
      <c r="B6" s="1"/>
      <c r="C6" s="6"/>
      <c r="D6" s="6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Y6" s="6"/>
      <c r="AH6" s="3"/>
    </row>
    <row r="7" spans="1:33" ht="9.75" customHeight="1">
      <c r="A7" s="6"/>
      <c r="B7" s="6"/>
      <c r="C7" s="11" t="s">
        <v>318</v>
      </c>
      <c r="D7" s="14" t="s">
        <v>319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29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AC9" s="3"/>
    </row>
    <row r="10" spans="1:29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C10" s="3"/>
    </row>
    <row r="11" spans="1:29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"/>
      <c r="W11" s="3"/>
      <c r="X11" s="3"/>
      <c r="Y11" s="3"/>
      <c r="Z11" s="3"/>
      <c r="AA11" s="3"/>
      <c r="AB11" s="3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9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AC13" s="3"/>
    </row>
    <row r="14" spans="1:29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"/>
      <c r="W14" s="3"/>
      <c r="X14" s="3"/>
      <c r="Y14" s="3"/>
      <c r="Z14" s="3"/>
      <c r="AA14" s="3"/>
      <c r="AB14" s="3"/>
      <c r="AC14" s="3"/>
    </row>
    <row r="15" spans="1:29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3"/>
      <c r="W15" s="3"/>
      <c r="X15" s="3"/>
      <c r="Y15" s="3"/>
      <c r="Z15" s="3"/>
      <c r="AA15" s="3"/>
      <c r="AB15" s="3"/>
      <c r="AC15" s="3"/>
    </row>
    <row r="16" spans="1:29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AC16" s="3"/>
    </row>
    <row r="17" spans="1:28" ht="9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3"/>
      <c r="W17" s="3"/>
      <c r="X17" s="3"/>
      <c r="Y17" s="3"/>
      <c r="Z17" s="3"/>
      <c r="AA17" s="3"/>
      <c r="AB17" s="3"/>
    </row>
    <row r="18" spans="1:29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AC18" s="3"/>
    </row>
    <row r="19" spans="1:29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AC19" s="3"/>
    </row>
    <row r="20" spans="1:29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3"/>
      <c r="W20" s="3"/>
      <c r="X20" s="3"/>
      <c r="Y20" s="3"/>
      <c r="Z20" s="3"/>
      <c r="AA20" s="3"/>
      <c r="AB20" s="3"/>
      <c r="AC20" s="3"/>
    </row>
    <row r="21" spans="1:29" ht="9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3"/>
      <c r="W21" s="3"/>
      <c r="X21" s="3"/>
      <c r="Y21" s="3"/>
      <c r="Z21" s="3"/>
      <c r="AA21" s="3"/>
      <c r="AB21" s="3"/>
      <c r="AC21" s="3"/>
    </row>
    <row r="22" spans="1:29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AC22" s="3"/>
    </row>
    <row r="23" spans="1:29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3"/>
      <c r="W23" s="3"/>
      <c r="X23" s="3"/>
      <c r="Y23" s="3"/>
      <c r="Z23" s="3"/>
      <c r="AA23" s="3"/>
      <c r="AB23" s="3"/>
      <c r="AC23" s="3"/>
    </row>
    <row r="24" spans="1:29" ht="9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3"/>
      <c r="W24" s="3"/>
      <c r="X24" s="3"/>
      <c r="Y24" s="3"/>
      <c r="Z24" s="3"/>
      <c r="AA24" s="3"/>
      <c r="AB24" s="3"/>
      <c r="AC24" s="3"/>
    </row>
    <row r="25" spans="1:29" ht="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AC25" s="3"/>
    </row>
    <row r="26" spans="1:29" ht="9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3"/>
      <c r="W26" s="3"/>
      <c r="X26" s="3"/>
      <c r="Y26" s="3"/>
      <c r="Z26" s="3"/>
      <c r="AA26" s="3"/>
      <c r="AB26" s="3"/>
      <c r="AC26" s="3"/>
    </row>
    <row r="27" spans="1:29" ht="9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3"/>
      <c r="W27" s="3"/>
      <c r="X27" s="3"/>
      <c r="Y27" s="3"/>
      <c r="Z27" s="3"/>
      <c r="AA27" s="3"/>
      <c r="AB27" s="3"/>
      <c r="AC27" s="3"/>
    </row>
    <row r="28" spans="1:29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AC28" s="3"/>
    </row>
    <row r="29" spans="1:29" ht="9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3"/>
      <c r="W29" s="3"/>
      <c r="X29" s="3"/>
      <c r="Y29" s="3"/>
      <c r="Z29" s="3"/>
      <c r="AA29" s="3"/>
      <c r="AB29" s="3"/>
      <c r="AC29" s="3"/>
    </row>
    <row r="30" spans="1:29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3"/>
      <c r="W30" s="3"/>
      <c r="X30" s="3"/>
      <c r="Y30" s="3"/>
      <c r="Z30" s="3"/>
      <c r="AA30" s="3"/>
      <c r="AB30" s="3"/>
      <c r="AC30" s="3"/>
    </row>
    <row r="31" spans="1:29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C31" s="3"/>
    </row>
    <row r="32" spans="1:28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</row>
    <row r="33" spans="1:29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AC33" s="3"/>
    </row>
    <row r="34" spans="1:29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AC34" s="3"/>
    </row>
    <row r="35" spans="1:29" ht="9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3"/>
      <c r="W35" s="3"/>
      <c r="X35" s="3"/>
      <c r="Y35" s="3"/>
      <c r="Z35" s="3"/>
      <c r="AA35" s="3"/>
      <c r="AB35" s="3"/>
      <c r="AC35" s="3"/>
    </row>
    <row r="36" spans="1:29" ht="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3"/>
      <c r="W36" s="3"/>
      <c r="X36" s="3"/>
      <c r="Y36" s="3"/>
      <c r="Z36" s="3"/>
      <c r="AA36" s="3"/>
      <c r="AB36" s="3"/>
      <c r="AC36" s="3"/>
    </row>
    <row r="37" spans="1:29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29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3"/>
      <c r="W38" s="3"/>
      <c r="X38" s="3"/>
      <c r="Y38" s="3"/>
      <c r="Z38" s="3"/>
      <c r="AA38" s="3"/>
      <c r="AB38" s="3"/>
      <c r="AC38" s="3"/>
    </row>
    <row r="39" spans="1:29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3"/>
      <c r="W39" s="3"/>
      <c r="X39" s="3"/>
      <c r="Y39" s="3"/>
      <c r="Z39" s="3"/>
      <c r="AA39" s="3"/>
      <c r="AB39" s="3"/>
      <c r="AC39" s="3"/>
    </row>
    <row r="40" spans="1:29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AC40" s="3"/>
    </row>
    <row r="41" spans="1:29" ht="9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3"/>
      <c r="W41" s="3"/>
      <c r="X41" s="3"/>
      <c r="Y41" s="3"/>
      <c r="Z41" s="3"/>
      <c r="AA41" s="3"/>
      <c r="AB41" s="3"/>
      <c r="AC41" s="3"/>
    </row>
    <row r="42" spans="1:29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3"/>
      <c r="W42" s="3"/>
      <c r="X42" s="3"/>
      <c r="Y42" s="3"/>
      <c r="Z42" s="3"/>
      <c r="AA42" s="3"/>
      <c r="AB42" s="3"/>
      <c r="AC42" s="3"/>
    </row>
    <row r="43" spans="1:29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C43" s="3"/>
    </row>
    <row r="44" spans="1:29" ht="9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3"/>
      <c r="W44" s="3"/>
      <c r="X44" s="3"/>
      <c r="Y44" s="3"/>
      <c r="Z44" s="3"/>
      <c r="AA44" s="3"/>
      <c r="AB44" s="3"/>
      <c r="AC44" s="3"/>
    </row>
    <row r="45" spans="1:29" ht="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  <c r="AC45" s="3"/>
    </row>
    <row r="46" spans="1:29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AC46" s="3"/>
    </row>
    <row r="47" spans="1:28" ht="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3"/>
      <c r="W47" s="3"/>
      <c r="X47" s="3"/>
      <c r="Y47" s="3"/>
      <c r="Z47" s="3"/>
      <c r="AA47" s="3"/>
      <c r="AB47" s="3"/>
    </row>
    <row r="48" spans="1:29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AC48" s="3"/>
    </row>
    <row r="49" spans="1:29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AC49" s="3"/>
    </row>
    <row r="50" spans="1:29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3"/>
      <c r="W50" s="3"/>
      <c r="X50" s="3"/>
      <c r="Y50" s="3"/>
      <c r="Z50" s="3"/>
      <c r="AA50" s="3"/>
      <c r="AB50" s="3"/>
      <c r="AC50" s="3"/>
    </row>
    <row r="51" spans="1:29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3"/>
      <c r="W51" s="3"/>
      <c r="X51" s="3"/>
      <c r="Y51" s="3"/>
      <c r="Z51" s="3"/>
      <c r="AA51" s="3"/>
      <c r="AB51" s="3"/>
      <c r="AC51" s="3"/>
    </row>
    <row r="52" spans="1:29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AC52" s="3"/>
    </row>
    <row r="53" spans="1:29" ht="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3"/>
      <c r="W53" s="3"/>
      <c r="X53" s="3"/>
      <c r="Y53" s="3"/>
      <c r="Z53" s="3"/>
      <c r="AA53" s="3"/>
      <c r="AB53" s="3"/>
      <c r="AC53" s="3"/>
    </row>
    <row r="54" spans="1:29" ht="9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3"/>
      <c r="W54" s="3"/>
      <c r="X54" s="3"/>
      <c r="Y54" s="3"/>
      <c r="Z54" s="3"/>
      <c r="AA54" s="3"/>
      <c r="AB54" s="3"/>
      <c r="AC54" s="3"/>
    </row>
    <row r="55" spans="1:29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AC55" s="3"/>
    </row>
    <row r="56" spans="1:29" ht="9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3"/>
      <c r="W56" s="3"/>
      <c r="X56" s="3"/>
      <c r="Y56" s="3"/>
      <c r="Z56" s="3"/>
      <c r="AA56" s="3"/>
      <c r="AB56" s="3"/>
      <c r="AC56" s="3"/>
    </row>
    <row r="57" spans="1:29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  <c r="AC57" s="3"/>
    </row>
    <row r="58" spans="1:29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AC58" s="3"/>
    </row>
    <row r="59" spans="1:29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3"/>
      <c r="W59" s="3"/>
      <c r="X59" s="3"/>
      <c r="Y59" s="3"/>
      <c r="Z59" s="3"/>
      <c r="AA59" s="3"/>
      <c r="AB59" s="3"/>
      <c r="AC59" s="3"/>
    </row>
    <row r="60" spans="1:29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3"/>
      <c r="W60" s="3"/>
      <c r="X60" s="3"/>
      <c r="Y60" s="3"/>
      <c r="Z60" s="3"/>
      <c r="AA60" s="3"/>
      <c r="AB60" s="3"/>
      <c r="AC60" s="3"/>
    </row>
    <row r="61" spans="1:29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AC61" s="3"/>
    </row>
    <row r="62" spans="1:28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3"/>
      <c r="W62" s="3"/>
      <c r="X62" s="3"/>
      <c r="Y62" s="3"/>
      <c r="Z62" s="3"/>
      <c r="AA62" s="3"/>
      <c r="AB62" s="3"/>
    </row>
    <row r="63" spans="1:29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3"/>
      <c r="W63" s="3"/>
      <c r="X63" s="3"/>
      <c r="Y63" s="3"/>
      <c r="Z63" s="3"/>
      <c r="AA63" s="3"/>
      <c r="AB63" s="3"/>
      <c r="AC63" s="3"/>
    </row>
    <row r="64" spans="1:29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AC64" s="3"/>
    </row>
    <row r="65" spans="1:29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AC65" s="3"/>
    </row>
    <row r="66" spans="1:29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AC66" s="3"/>
    </row>
    <row r="67" spans="1:29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3"/>
      <c r="W67" s="3"/>
      <c r="X67" s="3"/>
      <c r="Y67" s="3"/>
      <c r="Z67" s="3"/>
      <c r="AA67" s="3"/>
      <c r="AB67" s="3"/>
      <c r="AC67" s="3"/>
    </row>
    <row r="68" spans="1:29" ht="9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3"/>
      <c r="W68" s="3"/>
      <c r="X68" s="3"/>
      <c r="Y68" s="3"/>
      <c r="Z68" s="3"/>
      <c r="AA68" s="3"/>
      <c r="AB68" s="3"/>
      <c r="AC68" s="3"/>
    </row>
    <row r="69" spans="1:29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AC69" s="3"/>
    </row>
    <row r="70" spans="1:29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  <c r="AC70" s="3"/>
    </row>
    <row r="71" spans="1:29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"/>
      <c r="W71" s="3"/>
      <c r="X71" s="3"/>
      <c r="Y71" s="3"/>
      <c r="Z71" s="3"/>
      <c r="AA71" s="3"/>
      <c r="AB71" s="3"/>
      <c r="AC71" s="3"/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9" t="str">
        <f>cosymbol</f>
        <v> NTES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 t="str">
        <f>coname</f>
        <v>Narai Thermal engineering Services </v>
      </c>
    </row>
    <row r="117" ht="13.5" customHeight="1"/>
    <row r="118" ht="13.5" customHeight="1"/>
  </sheetData>
  <mergeCells count="4">
    <mergeCell ref="AC1:AH1"/>
    <mergeCell ref="A2:X4"/>
    <mergeCell ref="AC2:AH2"/>
    <mergeCell ref="AE4:AF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2016-02-28T09:31:54Z</cp:lastPrinted>
  <dcterms:created xsi:type="dcterms:W3CDTF">2003-02-24T17:06:01Z</dcterms:created>
  <dcterms:modified xsi:type="dcterms:W3CDTF">2016-03-08T13:41:21Z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